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495"/>
  </bookViews>
  <sheets>
    <sheet name="รอบ 6 เดือน" sheetId="1" r:id="rId1"/>
  </sheets>
  <definedNames>
    <definedName name="_xlnm.Print_Area" localSheetId="0">'รอบ 6 เดือน'!$A$1:$P$102</definedName>
    <definedName name="_xlnm.Print_Titles" localSheetId="0">'รอบ 6 เดือน'!$3:$5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1" l="1"/>
  <c r="D54" i="1"/>
  <c r="D42" i="1"/>
  <c r="D12" i="1"/>
  <c r="D90" i="1" l="1"/>
  <c r="C90" i="1"/>
  <c r="C60" i="1" l="1"/>
  <c r="D10" i="1" l="1"/>
  <c r="C68" i="1" l="1"/>
  <c r="C43" i="1"/>
  <c r="C12" i="1"/>
  <c r="C9" i="1" l="1"/>
  <c r="A7" i="1"/>
  <c r="C78" i="1" l="1"/>
  <c r="C72" i="1"/>
  <c r="C66" i="1"/>
  <c r="C70" i="1" s="1"/>
  <c r="C54" i="1"/>
  <c r="C48" i="1"/>
  <c r="C42" i="1"/>
  <c r="C36" i="1"/>
  <c r="C30" i="1"/>
  <c r="C24" i="1"/>
  <c r="C18" i="1"/>
  <c r="C99" i="1" l="1"/>
  <c r="H102" i="1"/>
  <c r="G102" i="1"/>
  <c r="F102" i="1"/>
  <c r="E102" i="1"/>
  <c r="H101" i="1"/>
  <c r="G101" i="1"/>
  <c r="F101" i="1"/>
  <c r="E101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J102" i="1"/>
  <c r="I102" i="1"/>
  <c r="J101" i="1"/>
  <c r="I101" i="1"/>
  <c r="D101" i="1"/>
  <c r="D102" i="1"/>
  <c r="C94" i="1" l="1"/>
  <c r="E94" i="1"/>
  <c r="E95" i="1" l="1"/>
  <c r="C102" i="1"/>
  <c r="C101" i="1"/>
  <c r="C22" i="1"/>
  <c r="C16" i="1"/>
  <c r="C10" i="1"/>
  <c r="C76" i="1"/>
  <c r="C64" i="1"/>
  <c r="C58" i="1"/>
  <c r="C52" i="1"/>
  <c r="C46" i="1"/>
  <c r="C40" i="1"/>
  <c r="C34" i="1"/>
  <c r="C28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O17" i="1" l="1"/>
  <c r="N17" i="1"/>
  <c r="P17" i="1"/>
  <c r="F17" i="1"/>
  <c r="J17" i="1"/>
  <c r="K17" i="1"/>
  <c r="M17" i="1"/>
  <c r="L17" i="1"/>
  <c r="H17" i="1"/>
  <c r="I17" i="1"/>
  <c r="E17" i="1"/>
  <c r="G17" i="1"/>
  <c r="P100" i="1" l="1"/>
  <c r="P99" i="1"/>
  <c r="P98" i="1"/>
  <c r="P94" i="1"/>
  <c r="P88" i="1"/>
  <c r="P82" i="1"/>
  <c r="P76" i="1"/>
  <c r="P70" i="1"/>
  <c r="P64" i="1"/>
  <c r="P58" i="1"/>
  <c r="P52" i="1"/>
  <c r="P46" i="1"/>
  <c r="P40" i="1"/>
  <c r="P34" i="1"/>
  <c r="P28" i="1"/>
  <c r="P22" i="1"/>
  <c r="P10" i="1"/>
  <c r="P96" i="1" l="1"/>
  <c r="D64" i="1"/>
  <c r="P65" i="1" l="1"/>
  <c r="O100" i="1" l="1"/>
  <c r="O99" i="1"/>
  <c r="O98" i="1"/>
  <c r="O94" i="1"/>
  <c r="O88" i="1"/>
  <c r="O82" i="1"/>
  <c r="O76" i="1"/>
  <c r="O70" i="1"/>
  <c r="O64" i="1"/>
  <c r="O65" i="1" s="1"/>
  <c r="O58" i="1"/>
  <c r="O52" i="1"/>
  <c r="O46" i="1"/>
  <c r="O40" i="1"/>
  <c r="O34" i="1"/>
  <c r="O28" i="1"/>
  <c r="O22" i="1"/>
  <c r="O10" i="1"/>
  <c r="O11" i="1" s="1"/>
  <c r="O96" i="1" l="1"/>
  <c r="N100" i="1" l="1"/>
  <c r="N99" i="1"/>
  <c r="N98" i="1"/>
  <c r="N94" i="1"/>
  <c r="N95" i="1" s="1"/>
  <c r="N88" i="1"/>
  <c r="N82" i="1"/>
  <c r="N76" i="1"/>
  <c r="N77" i="1" s="1"/>
  <c r="N70" i="1"/>
  <c r="N64" i="1"/>
  <c r="N65" i="1" s="1"/>
  <c r="N58" i="1"/>
  <c r="N52" i="1"/>
  <c r="N46" i="1"/>
  <c r="N40" i="1"/>
  <c r="N34" i="1"/>
  <c r="N28" i="1"/>
  <c r="N22" i="1"/>
  <c r="N23" i="1" s="1"/>
  <c r="N10" i="1"/>
  <c r="N96" i="1" l="1"/>
  <c r="M100" i="1" l="1"/>
  <c r="M99" i="1"/>
  <c r="M98" i="1"/>
  <c r="M94" i="1"/>
  <c r="M95" i="1" s="1"/>
  <c r="M88" i="1"/>
  <c r="M82" i="1"/>
  <c r="M76" i="1"/>
  <c r="M77" i="1" s="1"/>
  <c r="M70" i="1"/>
  <c r="M71" i="1" s="1"/>
  <c r="M64" i="1"/>
  <c r="M65" i="1" s="1"/>
  <c r="M58" i="1"/>
  <c r="M59" i="1" s="1"/>
  <c r="M52" i="1"/>
  <c r="M53" i="1" s="1"/>
  <c r="M46" i="1"/>
  <c r="M47" i="1" s="1"/>
  <c r="M40" i="1"/>
  <c r="M41" i="1" s="1"/>
  <c r="M34" i="1"/>
  <c r="M35" i="1" s="1"/>
  <c r="M28" i="1"/>
  <c r="M29" i="1" s="1"/>
  <c r="M22" i="1"/>
  <c r="M23" i="1" s="1"/>
  <c r="M10" i="1"/>
  <c r="M96" i="1" l="1"/>
  <c r="L100" i="1" l="1"/>
  <c r="L99" i="1"/>
  <c r="L98" i="1"/>
  <c r="L94" i="1"/>
  <c r="L95" i="1" s="1"/>
  <c r="L88" i="1"/>
  <c r="L82" i="1"/>
  <c r="L76" i="1"/>
  <c r="L77" i="1" s="1"/>
  <c r="L70" i="1"/>
  <c r="L71" i="1" s="1"/>
  <c r="L64" i="1"/>
  <c r="L65" i="1" s="1"/>
  <c r="L58" i="1"/>
  <c r="L59" i="1" s="1"/>
  <c r="L52" i="1"/>
  <c r="L53" i="1" s="1"/>
  <c r="L46" i="1"/>
  <c r="L47" i="1" s="1"/>
  <c r="L40" i="1"/>
  <c r="L41" i="1" s="1"/>
  <c r="L34" i="1"/>
  <c r="L35" i="1" s="1"/>
  <c r="L28" i="1"/>
  <c r="L29" i="1" s="1"/>
  <c r="L22" i="1"/>
  <c r="L23" i="1" s="1"/>
  <c r="L10" i="1"/>
  <c r="L11" i="1" s="1"/>
  <c r="L96" i="1" l="1"/>
  <c r="J100" i="1" l="1"/>
  <c r="J99" i="1"/>
  <c r="J98" i="1"/>
  <c r="J94" i="1"/>
  <c r="J88" i="1"/>
  <c r="J82" i="1"/>
  <c r="J76" i="1"/>
  <c r="J77" i="1" s="1"/>
  <c r="J70" i="1"/>
  <c r="J64" i="1"/>
  <c r="J58" i="1"/>
  <c r="J52" i="1"/>
  <c r="J46" i="1"/>
  <c r="J40" i="1"/>
  <c r="J34" i="1"/>
  <c r="J28" i="1"/>
  <c r="J22" i="1"/>
  <c r="J10" i="1"/>
  <c r="J11" i="1" s="1"/>
  <c r="J96" i="1" l="1"/>
  <c r="H99" i="1"/>
  <c r="K100" i="1" l="1"/>
  <c r="K10" i="1" l="1"/>
  <c r="K11" i="1" s="1"/>
  <c r="K99" i="1"/>
  <c r="K98" i="1"/>
  <c r="K94" i="1"/>
  <c r="K95" i="1" s="1"/>
  <c r="K88" i="1"/>
  <c r="K82" i="1"/>
  <c r="K76" i="1"/>
  <c r="K77" i="1" s="1"/>
  <c r="K70" i="1"/>
  <c r="K71" i="1" s="1"/>
  <c r="K64" i="1"/>
  <c r="K65" i="1" s="1"/>
  <c r="K58" i="1"/>
  <c r="K59" i="1" s="1"/>
  <c r="K52" i="1"/>
  <c r="K53" i="1" s="1"/>
  <c r="K46" i="1"/>
  <c r="K47" i="1" s="1"/>
  <c r="K40" i="1"/>
  <c r="K41" i="1" s="1"/>
  <c r="K34" i="1"/>
  <c r="K35" i="1" s="1"/>
  <c r="K28" i="1"/>
  <c r="K29" i="1" s="1"/>
  <c r="K22" i="1"/>
  <c r="K23" i="1" s="1"/>
  <c r="K96" i="1" l="1"/>
  <c r="I22" i="1" l="1"/>
  <c r="I23" i="1" s="1"/>
  <c r="I10" i="1" l="1"/>
  <c r="I11" i="1" s="1"/>
  <c r="I100" i="1"/>
  <c r="I99" i="1"/>
  <c r="I98" i="1"/>
  <c r="H98" i="1"/>
  <c r="I94" i="1"/>
  <c r="I95" i="1" s="1"/>
  <c r="I88" i="1"/>
  <c r="I82" i="1"/>
  <c r="I76" i="1"/>
  <c r="I77" i="1" s="1"/>
  <c r="I70" i="1"/>
  <c r="I71" i="1" s="1"/>
  <c r="I64" i="1"/>
  <c r="I65" i="1" s="1"/>
  <c r="I58" i="1"/>
  <c r="I59" i="1" s="1"/>
  <c r="I52" i="1"/>
  <c r="I53" i="1" s="1"/>
  <c r="I46" i="1"/>
  <c r="I47" i="1" s="1"/>
  <c r="I40" i="1"/>
  <c r="I41" i="1" s="1"/>
  <c r="I34" i="1"/>
  <c r="I35" i="1" s="1"/>
  <c r="I28" i="1"/>
  <c r="I29" i="1" s="1"/>
  <c r="I96" i="1" l="1"/>
  <c r="J65" i="1" l="1"/>
  <c r="J71" i="1"/>
  <c r="D94" i="1"/>
  <c r="D88" i="1"/>
  <c r="D82" i="1"/>
  <c r="D76" i="1"/>
  <c r="D52" i="1"/>
  <c r="D40" i="1"/>
  <c r="D22" i="1"/>
  <c r="P89" i="1" l="1"/>
  <c r="O89" i="1"/>
  <c r="N89" i="1"/>
  <c r="P41" i="1"/>
  <c r="O41" i="1"/>
  <c r="N41" i="1"/>
  <c r="P95" i="1"/>
  <c r="O95" i="1"/>
  <c r="P77" i="1"/>
  <c r="O77" i="1"/>
  <c r="P23" i="1"/>
  <c r="O23" i="1"/>
  <c r="P83" i="1"/>
  <c r="O83" i="1"/>
  <c r="P53" i="1"/>
  <c r="O53" i="1"/>
  <c r="N53" i="1"/>
  <c r="J59" i="1"/>
  <c r="J29" i="1"/>
  <c r="D46" i="1" l="1"/>
  <c r="D58" i="1"/>
  <c r="D70" i="1"/>
  <c r="O71" i="1" s="1"/>
  <c r="P11" i="1"/>
  <c r="O59" i="1" l="1"/>
  <c r="N59" i="1"/>
  <c r="P47" i="1"/>
  <c r="O47" i="1"/>
  <c r="N47" i="1"/>
  <c r="P71" i="1"/>
  <c r="N71" i="1"/>
  <c r="P59" i="1"/>
  <c r="N11" i="1"/>
  <c r="M11" i="1"/>
  <c r="H22" i="1" l="1"/>
  <c r="H23" i="1" s="1"/>
  <c r="C88" i="1" l="1"/>
  <c r="C82" i="1"/>
  <c r="J53" i="1"/>
  <c r="J41" i="1"/>
  <c r="M89" i="1" l="1"/>
  <c r="L89" i="1"/>
  <c r="N83" i="1"/>
  <c r="M83" i="1"/>
  <c r="L83" i="1"/>
  <c r="J83" i="1"/>
  <c r="K83" i="1"/>
  <c r="I83" i="1"/>
  <c r="K89" i="1"/>
  <c r="I89" i="1"/>
  <c r="C96" i="1"/>
  <c r="J89" i="1"/>
  <c r="J23" i="1"/>
  <c r="K97" i="1" l="1"/>
  <c r="P97" i="1"/>
  <c r="H100" i="1"/>
  <c r="H94" i="1"/>
  <c r="H95" i="1" s="1"/>
  <c r="H88" i="1"/>
  <c r="H89" i="1" s="1"/>
  <c r="H82" i="1"/>
  <c r="H83" i="1" s="1"/>
  <c r="H76" i="1"/>
  <c r="H77" i="1" s="1"/>
  <c r="H70" i="1"/>
  <c r="H71" i="1" s="1"/>
  <c r="H64" i="1"/>
  <c r="H65" i="1" s="1"/>
  <c r="H58" i="1"/>
  <c r="H59" i="1" s="1"/>
  <c r="H52" i="1"/>
  <c r="H53" i="1" s="1"/>
  <c r="H46" i="1"/>
  <c r="H47" i="1" s="1"/>
  <c r="H40" i="1"/>
  <c r="H41" i="1" s="1"/>
  <c r="H34" i="1"/>
  <c r="H35" i="1" s="1"/>
  <c r="H28" i="1"/>
  <c r="H29" i="1" s="1"/>
  <c r="H10" i="1"/>
  <c r="H11" i="1" s="1"/>
  <c r="H96" i="1" l="1"/>
  <c r="D34" i="1"/>
  <c r="P35" i="1" l="1"/>
  <c r="O35" i="1"/>
  <c r="N35" i="1"/>
  <c r="D28" i="1"/>
  <c r="D99" i="1"/>
  <c r="E10" i="1"/>
  <c r="N29" i="1" l="1"/>
  <c r="O29" i="1"/>
  <c r="P29" i="1"/>
  <c r="D96" i="1"/>
  <c r="E11" i="1"/>
  <c r="J47" i="1" l="1"/>
  <c r="G99" i="1"/>
  <c r="G10" i="1"/>
  <c r="G11" i="1" s="1"/>
  <c r="G100" i="1" l="1"/>
  <c r="G98" i="1"/>
  <c r="G94" i="1"/>
  <c r="G95" i="1" s="1"/>
  <c r="G88" i="1"/>
  <c r="G89" i="1" s="1"/>
  <c r="G82" i="1"/>
  <c r="G83" i="1" s="1"/>
  <c r="G76" i="1"/>
  <c r="G77" i="1" s="1"/>
  <c r="G70" i="1"/>
  <c r="G71" i="1" s="1"/>
  <c r="G64" i="1"/>
  <c r="G65" i="1" s="1"/>
  <c r="G58" i="1"/>
  <c r="G59" i="1" s="1"/>
  <c r="G52" i="1"/>
  <c r="G53" i="1" s="1"/>
  <c r="G46" i="1"/>
  <c r="G47" i="1" s="1"/>
  <c r="G40" i="1"/>
  <c r="G41" i="1" s="1"/>
  <c r="G34" i="1"/>
  <c r="G35" i="1" s="1"/>
  <c r="G28" i="1"/>
  <c r="G29" i="1" s="1"/>
  <c r="G22" i="1"/>
  <c r="G23" i="1" s="1"/>
  <c r="G96" i="1" l="1"/>
  <c r="E99" i="1"/>
  <c r="F99" i="1"/>
  <c r="C98" i="1"/>
  <c r="F10" i="1" l="1"/>
  <c r="F11" i="1" s="1"/>
  <c r="F88" i="1"/>
  <c r="F89" i="1" s="1"/>
  <c r="E88" i="1"/>
  <c r="E89" i="1" s="1"/>
  <c r="F100" i="1"/>
  <c r="F98" i="1"/>
  <c r="F94" i="1"/>
  <c r="F95" i="1" s="1"/>
  <c r="F82" i="1"/>
  <c r="F83" i="1" s="1"/>
  <c r="F76" i="1"/>
  <c r="F77" i="1" s="1"/>
  <c r="F70" i="1"/>
  <c r="F71" i="1" s="1"/>
  <c r="F64" i="1"/>
  <c r="F65" i="1" s="1"/>
  <c r="F58" i="1"/>
  <c r="F59" i="1" s="1"/>
  <c r="F52" i="1"/>
  <c r="F53" i="1" s="1"/>
  <c r="F46" i="1"/>
  <c r="F47" i="1" s="1"/>
  <c r="F40" i="1"/>
  <c r="F41" i="1" s="1"/>
  <c r="F34" i="1"/>
  <c r="F35" i="1" s="1"/>
  <c r="F28" i="1"/>
  <c r="F29" i="1" s="1"/>
  <c r="F22" i="1"/>
  <c r="F23" i="1" s="1"/>
  <c r="J35" i="1" l="1"/>
  <c r="F96" i="1"/>
  <c r="C100" i="1" l="1"/>
  <c r="E100" i="1" l="1"/>
  <c r="E98" i="1"/>
  <c r="E82" i="1" l="1"/>
  <c r="E83" i="1" s="1"/>
  <c r="E76" i="1" l="1"/>
  <c r="E77" i="1" s="1"/>
  <c r="E70" i="1"/>
  <c r="E71" i="1" s="1"/>
  <c r="E64" i="1"/>
  <c r="E65" i="1" s="1"/>
  <c r="E58" i="1"/>
  <c r="E59" i="1" s="1"/>
  <c r="E52" i="1"/>
  <c r="E53" i="1" s="1"/>
  <c r="E46" i="1"/>
  <c r="E47" i="1" s="1"/>
  <c r="E40" i="1"/>
  <c r="E41" i="1" s="1"/>
  <c r="E34" i="1"/>
  <c r="E35" i="1" s="1"/>
  <c r="E28" i="1"/>
  <c r="E29" i="1" s="1"/>
  <c r="E22" i="1"/>
  <c r="E23" i="1" s="1"/>
  <c r="E96" i="1" l="1"/>
  <c r="E97" i="1" s="1"/>
  <c r="D100" i="1"/>
  <c r="D98" i="1"/>
  <c r="O97" i="1" l="1"/>
  <c r="J95" i="1"/>
  <c r="N97" i="1"/>
  <c r="M97" i="1" l="1"/>
  <c r="L97" i="1"/>
  <c r="J97" i="1"/>
  <c r="H97" i="1"/>
  <c r="I97" i="1"/>
  <c r="F97" i="1"/>
  <c r="G97" i="1"/>
</calcChain>
</file>

<file path=xl/sharedStrings.xml><?xml version="1.0" encoding="utf-8"?>
<sst xmlns="http://schemas.openxmlformats.org/spreadsheetml/2006/main" count="129" uniqueCount="48">
  <si>
    <t>หน่วยงาน</t>
  </si>
  <si>
    <t>งบรายจ่าย</t>
  </si>
  <si>
    <t>งบประมาณที่ได้รับ
(ตาม พรบ.)</t>
  </si>
  <si>
    <t>งบบุคลากร</t>
  </si>
  <si>
    <t>งบดำเนินงาน</t>
  </si>
  <si>
    <t>รวม</t>
  </si>
  <si>
    <t>ร้อยละการเบิกจ่าย</t>
  </si>
  <si>
    <t>งบลงทุน</t>
  </si>
  <si>
    <t>งบเงินอุดหนุน</t>
  </si>
  <si>
    <t>งบรายจ่ายอื่น</t>
  </si>
  <si>
    <t>15. อพพ/รพพ/ชช</t>
  </si>
  <si>
    <t>รวมงบประมาณทั้งสิ้น</t>
  </si>
  <si>
    <t>ร้อยละการเบิกจ่ายเทียบกับงบประมาณ</t>
  </si>
  <si>
    <t>รวมงบบุคลากร</t>
  </si>
  <si>
    <t>รวมงบดำเนินงาน</t>
  </si>
  <si>
    <t>รวมงบลงทุน</t>
  </si>
  <si>
    <t>รวมงบเงินอุดหนุน</t>
  </si>
  <si>
    <t>รวมงบรายจ่ายอื่น</t>
  </si>
  <si>
    <t>1. เงินกองกลาง</t>
  </si>
  <si>
    <t>ค่าสาธารณูปโภคทุกหน่วยงาน</t>
  </si>
  <si>
    <t>งบประมาณจริง
(สรุปผล)</t>
  </si>
  <si>
    <t>2. สล.</t>
  </si>
  <si>
    <t>3. กยผ.</t>
  </si>
  <si>
    <t>7. กพพ.</t>
  </si>
  <si>
    <t>8. กวค.</t>
  </si>
  <si>
    <t>9. กถผ.</t>
  </si>
  <si>
    <t>10. กสอ.</t>
  </si>
  <si>
    <t>11. กพส.</t>
  </si>
  <si>
    <t>12. กพช.</t>
  </si>
  <si>
    <t>13. กพร.</t>
  </si>
  <si>
    <t>14. กตส.</t>
  </si>
  <si>
    <t>5. กพบ.</t>
  </si>
  <si>
    <t>6. กกอ.</t>
  </si>
  <si>
    <t>4. ศทส.</t>
  </si>
  <si>
    <t xml:space="preserve"> ต.ค. 62</t>
  </si>
  <si>
    <t xml:space="preserve"> พ.ย. 62</t>
  </si>
  <si>
    <t>ธ.ค. 62</t>
  </si>
  <si>
    <t>ม.ค. 63</t>
  </si>
  <si>
    <t>ก.พ. 63</t>
  </si>
  <si>
    <t>มี.ค. 63</t>
  </si>
  <si>
    <t>เม.ย. 63</t>
  </si>
  <si>
    <t>พ.ค. 63</t>
  </si>
  <si>
    <t>มิ.ย. 63</t>
  </si>
  <si>
    <t>ก.ค. 63</t>
  </si>
  <si>
    <t>ส.ค. 63</t>
  </si>
  <si>
    <t>ก.ย. 63</t>
  </si>
  <si>
    <t>โอนเข้า COVID 19 และสถานการณ์ภัยแล้ง</t>
  </si>
  <si>
    <t>ผลการเบิกจ่ายสะสมรายกอง/สำนัก/ศูนย์ ปีงบประมาณ 2563
ณ 31 มี.ค.63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</si>
</sst>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_);_(* \(#,##0\);_(* &quot;-&quot;_);_(@_)"/>
    <numFmt numFmtId="188" formatCode="0.0%"/>
    <numFmt numFmtId="189" formatCode="0.000%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b/>
      <sz val="18"/>
      <color rgb="FFC00000"/>
      <name val="TH SarabunPSK"/>
      <family val="2"/>
    </font>
    <font>
      <b/>
      <sz val="18"/>
      <color rgb="FFFF0000"/>
      <name val="TH SarabunPSK"/>
      <family val="2"/>
    </font>
    <font>
      <b/>
      <u val="doubleAccounting"/>
      <sz val="18"/>
      <name val="TH SarabunPSK"/>
      <family val="2"/>
    </font>
    <font>
      <b/>
      <sz val="18"/>
      <color indexed="8"/>
      <name val="TH SarabunPSK"/>
      <family val="2"/>
    </font>
    <font>
      <sz val="28"/>
      <color theme="1"/>
      <name val="TH SarabunPSK"/>
      <family val="2"/>
    </font>
    <font>
      <b/>
      <sz val="28"/>
      <color theme="5" tint="-0.249977111117893"/>
      <name val="TH SarabunPSK"/>
      <family val="2"/>
    </font>
    <font>
      <b/>
      <sz val="28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B7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B2BD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17" fontId="2" fillId="3" borderId="5" xfId="0" applyNumberFormat="1" applyFont="1" applyFill="1" applyBorder="1" applyAlignment="1">
      <alignment horizontal="center" vertical="top" wrapText="1"/>
    </xf>
    <xf numFmtId="43" fontId="2" fillId="3" borderId="6" xfId="0" applyNumberFormat="1" applyFont="1" applyFill="1" applyBorder="1" applyAlignment="1">
      <alignment horizontal="right" vertical="top" wrapText="1"/>
    </xf>
    <xf numFmtId="43" fontId="2" fillId="3" borderId="3" xfId="0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9" xfId="0" applyFont="1" applyBorder="1"/>
    <xf numFmtId="0" fontId="4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43" fontId="4" fillId="4" borderId="5" xfId="1" applyFont="1" applyFill="1" applyBorder="1" applyAlignment="1">
      <alignment horizontal="center" vertical="top" wrapText="1"/>
    </xf>
    <xf numFmtId="43" fontId="2" fillId="4" borderId="7" xfId="1" applyNumberFormat="1" applyFont="1" applyFill="1" applyBorder="1" applyAlignment="1">
      <alignment horizontal="right" vertical="top" wrapText="1"/>
    </xf>
    <xf numFmtId="0" fontId="3" fillId="0" borderId="7" xfId="0" applyFont="1" applyBorder="1"/>
    <xf numFmtId="0" fontId="4" fillId="5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43" fontId="2" fillId="4" borderId="5" xfId="1" applyFont="1" applyFill="1" applyBorder="1" applyAlignment="1">
      <alignment horizontal="left" vertical="top" wrapText="1"/>
    </xf>
    <xf numFmtId="43" fontId="2" fillId="4" borderId="7" xfId="1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5" borderId="7" xfId="0" applyFont="1" applyFill="1" applyBorder="1"/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/>
    <xf numFmtId="0" fontId="6" fillId="5" borderId="4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4" fillId="0" borderId="5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2" fillId="0" borderId="8" xfId="0" applyFont="1" applyBorder="1"/>
    <xf numFmtId="0" fontId="7" fillId="0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6" borderId="8" xfId="0" applyFont="1" applyFill="1" applyBorder="1" applyAlignment="1">
      <alignment horizontal="center" vertical="center" wrapText="1"/>
    </xf>
    <xf numFmtId="43" fontId="8" fillId="7" borderId="8" xfId="0" applyNumberFormat="1" applyFont="1" applyFill="1" applyBorder="1" applyAlignment="1">
      <alignment horizontal="left" vertical="top" wrapText="1"/>
    </xf>
    <xf numFmtId="43" fontId="8" fillId="7" borderId="7" xfId="0" applyNumberFormat="1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43" fontId="2" fillId="0" borderId="4" xfId="1" applyFont="1" applyFill="1" applyBorder="1" applyAlignment="1">
      <alignment horizontal="center"/>
    </xf>
    <xf numFmtId="43" fontId="2" fillId="0" borderId="4" xfId="0" applyNumberFormat="1" applyFont="1" applyFill="1" applyBorder="1" applyAlignment="1">
      <alignment horizontal="center" vertical="top"/>
    </xf>
    <xf numFmtId="43" fontId="2" fillId="0" borderId="4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/>
    </xf>
    <xf numFmtId="43" fontId="2" fillId="0" borderId="4" xfId="0" applyNumberFormat="1" applyFont="1" applyFill="1" applyBorder="1" applyAlignment="1">
      <alignment horizontal="left" vertical="top"/>
    </xf>
    <xf numFmtId="43" fontId="4" fillId="0" borderId="4" xfId="0" applyNumberFormat="1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43" fontId="5" fillId="0" borderId="0" xfId="0" applyNumberFormat="1" applyFont="1" applyAlignment="1">
      <alignment horizontal="right"/>
    </xf>
    <xf numFmtId="0" fontId="5" fillId="0" borderId="0" xfId="0" applyFont="1"/>
    <xf numFmtId="43" fontId="4" fillId="0" borderId="4" xfId="1" applyFont="1" applyFill="1" applyBorder="1" applyAlignment="1">
      <alignment horizontal="center" vertical="top" wrapText="1"/>
    </xf>
    <xf numFmtId="43" fontId="2" fillId="0" borderId="4" xfId="1" applyFont="1" applyFill="1" applyBorder="1" applyAlignment="1">
      <alignment horizontal="center" vertical="top" wrapText="1"/>
    </xf>
    <xf numFmtId="43" fontId="2" fillId="0" borderId="4" xfId="1" applyNumberFormat="1" applyFont="1" applyFill="1" applyBorder="1" applyAlignment="1">
      <alignment horizontal="right" vertical="top" wrapText="1"/>
    </xf>
    <xf numFmtId="43" fontId="4" fillId="0" borderId="9" xfId="1" applyFont="1" applyFill="1" applyBorder="1" applyAlignment="1">
      <alignment horizontal="center" vertical="top" wrapText="1"/>
    </xf>
    <xf numFmtId="43" fontId="2" fillId="0" borderId="3" xfId="1" applyNumberFormat="1" applyFont="1" applyFill="1" applyBorder="1" applyAlignment="1">
      <alignment horizontal="right" vertical="top" wrapText="1"/>
    </xf>
    <xf numFmtId="0" fontId="4" fillId="0" borderId="7" xfId="0" applyFont="1" applyBorder="1"/>
    <xf numFmtId="0" fontId="7" fillId="0" borderId="7" xfId="0" applyFont="1" applyBorder="1"/>
    <xf numFmtId="10" fontId="7" fillId="0" borderId="7" xfId="2" applyNumberFormat="1" applyFont="1" applyBorder="1" applyAlignment="1">
      <alignment horizontal="right"/>
    </xf>
    <xf numFmtId="43" fontId="4" fillId="0" borderId="4" xfId="1" applyFont="1" applyBorder="1" applyAlignment="1">
      <alignment horizontal="left" vertical="top" wrapText="1"/>
    </xf>
    <xf numFmtId="43" fontId="2" fillId="0" borderId="4" xfId="1" applyFont="1" applyBorder="1" applyAlignment="1">
      <alignment horizontal="left" vertical="top" wrapText="1"/>
    </xf>
    <xf numFmtId="43" fontId="2" fillId="0" borderId="4" xfId="1" applyNumberFormat="1" applyFont="1" applyBorder="1" applyAlignment="1">
      <alignment horizontal="right" vertical="top" wrapText="1"/>
    </xf>
    <xf numFmtId="43" fontId="2" fillId="0" borderId="4" xfId="1" applyFont="1" applyBorder="1" applyAlignment="1">
      <alignment horizontal="center" vertical="top" wrapText="1"/>
    </xf>
    <xf numFmtId="43" fontId="4" fillId="5" borderId="4" xfId="1" applyFont="1" applyFill="1" applyBorder="1" applyAlignment="1">
      <alignment horizontal="left" vertical="top" wrapText="1"/>
    </xf>
    <xf numFmtId="43" fontId="2" fillId="5" borderId="4" xfId="1" applyNumberFormat="1" applyFont="1" applyFill="1" applyBorder="1" applyAlignment="1">
      <alignment horizontal="right" vertical="top" wrapText="1"/>
    </xf>
    <xf numFmtId="0" fontId="4" fillId="5" borderId="7" xfId="0" applyFont="1" applyFill="1" applyBorder="1"/>
    <xf numFmtId="0" fontId="7" fillId="5" borderId="7" xfId="0" applyFont="1" applyFill="1" applyBorder="1"/>
    <xf numFmtId="10" fontId="7" fillId="5" borderId="7" xfId="2" applyNumberFormat="1" applyFont="1" applyFill="1" applyBorder="1" applyAlignment="1">
      <alignment horizontal="right"/>
    </xf>
    <xf numFmtId="43" fontId="4" fillId="0" borderId="4" xfId="1" applyFont="1" applyFill="1" applyBorder="1" applyAlignment="1">
      <alignment horizontal="left" vertical="top" wrapText="1"/>
    </xf>
    <xf numFmtId="43" fontId="2" fillId="0" borderId="4" xfId="1" applyFont="1" applyFill="1" applyBorder="1" applyAlignment="1">
      <alignment horizontal="left" vertical="top" wrapText="1"/>
    </xf>
    <xf numFmtId="187" fontId="2" fillId="0" borderId="10" xfId="0" applyNumberFormat="1" applyFont="1" applyFill="1" applyBorder="1" applyAlignment="1">
      <alignment vertical="top"/>
    </xf>
    <xf numFmtId="0" fontId="7" fillId="0" borderId="8" xfId="0" applyFont="1" applyBorder="1"/>
    <xf numFmtId="10" fontId="7" fillId="0" borderId="8" xfId="2" applyNumberFormat="1" applyFont="1" applyBorder="1" applyAlignment="1">
      <alignment horizontal="right"/>
    </xf>
    <xf numFmtId="43" fontId="9" fillId="0" borderId="7" xfId="1" applyNumberFormat="1" applyFont="1" applyFill="1" applyBorder="1" applyAlignment="1">
      <alignment horizontal="right" vertical="center"/>
    </xf>
    <xf numFmtId="0" fontId="4" fillId="0" borderId="8" xfId="0" applyFont="1" applyBorder="1"/>
    <xf numFmtId="43" fontId="4" fillId="0" borderId="8" xfId="1" applyFont="1" applyBorder="1" applyAlignment="1">
      <alignment horizontal="left" vertical="top" wrapText="1"/>
    </xf>
    <xf numFmtId="43" fontId="2" fillId="0" borderId="8" xfId="1" applyNumberFormat="1" applyFont="1" applyBorder="1" applyAlignment="1">
      <alignment horizontal="right" vertical="top" wrapText="1"/>
    </xf>
    <xf numFmtId="43" fontId="4" fillId="0" borderId="4" xfId="0" applyNumberFormat="1" applyFont="1" applyBorder="1" applyAlignment="1">
      <alignment horizontal="right" vertical="center"/>
    </xf>
    <xf numFmtId="189" fontId="7" fillId="0" borderId="8" xfId="2" applyNumberFormat="1" applyFont="1" applyBorder="1" applyAlignment="1">
      <alignment horizontal="right"/>
    </xf>
    <xf numFmtId="43" fontId="2" fillId="0" borderId="8" xfId="1" applyNumberFormat="1" applyFont="1" applyFill="1" applyBorder="1" applyAlignment="1">
      <alignment horizontal="right" vertical="top" wrapText="1"/>
    </xf>
    <xf numFmtId="43" fontId="0" fillId="0" borderId="4" xfId="1" applyFont="1" applyBorder="1"/>
    <xf numFmtId="188" fontId="7" fillId="0" borderId="8" xfId="2" applyNumberFormat="1" applyFont="1" applyBorder="1" applyAlignment="1">
      <alignment horizontal="right"/>
    </xf>
    <xf numFmtId="43" fontId="2" fillId="0" borderId="11" xfId="1" applyNumberFormat="1" applyFont="1" applyFill="1" applyBorder="1" applyAlignment="1">
      <alignment horizontal="right" vertical="top" wrapText="1"/>
    </xf>
    <xf numFmtId="43" fontId="2" fillId="0" borderId="12" xfId="1" applyNumberFormat="1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horizontal="center" vertical="top" wrapText="1"/>
    </xf>
    <xf numFmtId="43" fontId="4" fillId="0" borderId="6" xfId="1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/>
    <xf numFmtId="0" fontId="3" fillId="0" borderId="8" xfId="0" applyFont="1" applyFill="1" applyBorder="1"/>
    <xf numFmtId="0" fontId="4" fillId="0" borderId="8" xfId="0" applyFont="1" applyFill="1" applyBorder="1"/>
    <xf numFmtId="0" fontId="7" fillId="0" borderId="8" xfId="0" applyFont="1" applyFill="1" applyBorder="1"/>
    <xf numFmtId="10" fontId="7" fillId="0" borderId="8" xfId="2" applyNumberFormat="1" applyFont="1" applyFill="1" applyBorder="1" applyAlignment="1">
      <alignment horizontal="right"/>
    </xf>
    <xf numFmtId="10" fontId="7" fillId="0" borderId="7" xfId="2" applyNumberFormat="1" applyFont="1" applyFill="1" applyBorder="1" applyAlignment="1">
      <alignment horizontal="right"/>
    </xf>
    <xf numFmtId="0" fontId="4" fillId="5" borderId="7" xfId="0" applyFont="1" applyFill="1" applyBorder="1" applyAlignment="1">
      <alignment horizontal="left" vertical="center" wrapText="1"/>
    </xf>
    <xf numFmtId="187" fontId="2" fillId="0" borderId="4" xfId="0" applyNumberFormat="1" applyFont="1" applyFill="1" applyBorder="1" applyAlignment="1">
      <alignment vertical="top"/>
    </xf>
    <xf numFmtId="43" fontId="2" fillId="3" borderId="7" xfId="0" applyNumberFormat="1" applyFont="1" applyFill="1" applyBorder="1" applyAlignment="1">
      <alignment horizontal="right" vertical="top" wrapText="1"/>
    </xf>
    <xf numFmtId="43" fontId="2" fillId="3" borderId="8" xfId="0" applyNumberFormat="1" applyFont="1" applyFill="1" applyBorder="1" applyAlignment="1">
      <alignment horizontal="right" vertical="top" wrapText="1"/>
    </xf>
    <xf numFmtId="43" fontId="9" fillId="0" borderId="4" xfId="1" applyNumberFormat="1" applyFont="1" applyFill="1" applyBorder="1" applyAlignment="1">
      <alignment horizontal="right" vertical="center"/>
    </xf>
    <xf numFmtId="43" fontId="4" fillId="0" borderId="4" xfId="1" applyFont="1" applyFill="1" applyBorder="1"/>
    <xf numFmtId="10" fontId="7" fillId="0" borderId="13" xfId="2" applyNumberFormat="1" applyFont="1" applyBorder="1" applyAlignment="1">
      <alignment horizontal="right"/>
    </xf>
    <xf numFmtId="43" fontId="2" fillId="4" borderId="5" xfId="1" applyNumberFormat="1" applyFont="1" applyFill="1" applyBorder="1" applyAlignment="1">
      <alignment horizontal="right" vertical="top" wrapText="1"/>
    </xf>
    <xf numFmtId="43" fontId="2" fillId="0" borderId="8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3" fontId="3" fillId="0" borderId="9" xfId="0" applyNumberFormat="1" applyFont="1" applyBorder="1"/>
    <xf numFmtId="49" fontId="2" fillId="3" borderId="5" xfId="0" applyNumberFormat="1" applyFont="1" applyFill="1" applyBorder="1" applyAlignment="1">
      <alignment horizontal="center" vertical="top" wrapText="1"/>
    </xf>
    <xf numFmtId="0" fontId="10" fillId="0" borderId="0" xfId="0" applyFont="1"/>
    <xf numFmtId="43" fontId="12" fillId="0" borderId="0" xfId="0" applyNumberFormat="1" applyFont="1" applyFill="1" applyBorder="1" applyAlignment="1">
      <alignment horizontal="right" vertical="top"/>
    </xf>
    <xf numFmtId="43" fontId="2" fillId="0" borderId="7" xfId="0" applyNumberFormat="1" applyFont="1" applyFill="1" applyBorder="1"/>
    <xf numFmtId="43" fontId="4" fillId="0" borderId="5" xfId="1" applyFont="1" applyFill="1" applyBorder="1" applyAlignment="1">
      <alignment horizontal="center" vertical="top" wrapText="1"/>
    </xf>
    <xf numFmtId="43" fontId="2" fillId="0" borderId="7" xfId="1" applyNumberFormat="1" applyFont="1" applyFill="1" applyBorder="1" applyAlignment="1">
      <alignment horizontal="right" vertical="top" wrapText="1"/>
    </xf>
    <xf numFmtId="43" fontId="2" fillId="0" borderId="6" xfId="1" applyNumberFormat="1" applyFont="1" applyFill="1" applyBorder="1" applyAlignment="1">
      <alignment horizontal="right" vertical="top" wrapText="1"/>
    </xf>
    <xf numFmtId="43" fontId="2" fillId="0" borderId="5" xfId="1" applyNumberFormat="1" applyFont="1" applyFill="1" applyBorder="1" applyAlignment="1">
      <alignment horizontal="right" vertical="top" wrapText="1"/>
    </xf>
    <xf numFmtId="43" fontId="2" fillId="0" borderId="1" xfId="1" applyNumberFormat="1" applyFont="1" applyFill="1" applyBorder="1" applyAlignment="1">
      <alignment horizontal="right" vertical="top" wrapText="1"/>
    </xf>
    <xf numFmtId="43" fontId="2" fillId="2" borderId="9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top" wrapText="1"/>
    </xf>
    <xf numFmtId="17" fontId="2" fillId="3" borderId="6" xfId="0" applyNumberFormat="1" applyFont="1" applyFill="1" applyBorder="1" applyAlignment="1">
      <alignment horizontal="center" vertical="top" wrapText="1"/>
    </xf>
    <xf numFmtId="17" fontId="2" fillId="3" borderId="3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/>
    </xf>
    <xf numFmtId="0" fontId="2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</cellXfs>
  <cellStyles count="4">
    <cellStyle name="Comma 2" xfId="3"/>
    <cellStyle name="เครื่องหมาย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colors>
    <mruColors>
      <color rgb="FFFFFFCC"/>
      <color rgb="FF99CCFF"/>
      <color rgb="FFDFF1F5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03"/>
  <sheetViews>
    <sheetView tabSelected="1" view="pageBreakPreview" zoomScale="55" zoomScaleNormal="60" zoomScaleSheetLayoutView="5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9" sqref="E9"/>
    </sheetView>
  </sheetViews>
  <sheetFormatPr defaultColWidth="9" defaultRowHeight="33" customHeight="1" x14ac:dyDescent="0.35"/>
  <cols>
    <col min="1" max="1" width="24.625" style="1" customWidth="1"/>
    <col min="2" max="2" width="26.75" style="1" customWidth="1"/>
    <col min="3" max="3" width="23" style="1" customWidth="1"/>
    <col min="4" max="4" width="22.875" style="46" customWidth="1"/>
    <col min="5" max="5" width="17.375" style="45" customWidth="1"/>
    <col min="6" max="8" width="18.875" style="45" customWidth="1"/>
    <col min="9" max="11" width="20.125" style="45" customWidth="1"/>
    <col min="12" max="12" width="18.5" style="45" customWidth="1"/>
    <col min="13" max="14" width="19.875" style="45" customWidth="1"/>
    <col min="15" max="16" width="20.125" style="45" customWidth="1"/>
    <col min="17" max="16384" width="9" style="1"/>
  </cols>
  <sheetData>
    <row r="1" spans="1:16" ht="33" customHeight="1" x14ac:dyDescent="0.35">
      <c r="A1" s="111" t="s">
        <v>47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33" customHeight="1" x14ac:dyDescent="0.3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33" customHeight="1" x14ac:dyDescent="0.35">
      <c r="A3" s="122" t="s">
        <v>0</v>
      </c>
      <c r="B3" s="122" t="s">
        <v>1</v>
      </c>
      <c r="C3" s="123" t="s">
        <v>2</v>
      </c>
      <c r="D3" s="118" t="s">
        <v>20</v>
      </c>
      <c r="E3" s="2" t="s">
        <v>34</v>
      </c>
      <c r="F3" s="115" t="s">
        <v>35</v>
      </c>
      <c r="G3" s="80" t="s">
        <v>36</v>
      </c>
      <c r="H3" s="80" t="s">
        <v>37</v>
      </c>
      <c r="I3" s="80" t="s">
        <v>38</v>
      </c>
      <c r="J3" s="80" t="s">
        <v>39</v>
      </c>
      <c r="K3" s="80" t="s">
        <v>40</v>
      </c>
      <c r="L3" s="80" t="s">
        <v>41</v>
      </c>
      <c r="M3" s="80" t="s">
        <v>42</v>
      </c>
      <c r="N3" s="80" t="s">
        <v>43</v>
      </c>
      <c r="O3" s="100" t="s">
        <v>44</v>
      </c>
      <c r="P3" s="102" t="s">
        <v>45</v>
      </c>
    </row>
    <row r="4" spans="1:16" ht="33" customHeight="1" x14ac:dyDescent="0.35">
      <c r="A4" s="122"/>
      <c r="B4" s="122"/>
      <c r="C4" s="124"/>
      <c r="D4" s="119"/>
      <c r="E4" s="3"/>
      <c r="F4" s="116"/>
      <c r="G4" s="3"/>
      <c r="H4" s="3"/>
      <c r="I4" s="92"/>
      <c r="J4" s="92"/>
      <c r="K4" s="92"/>
      <c r="L4" s="92"/>
      <c r="M4" s="92"/>
      <c r="N4" s="92"/>
      <c r="O4" s="92"/>
      <c r="P4" s="92"/>
    </row>
    <row r="5" spans="1:16" ht="33" customHeight="1" x14ac:dyDescent="0.35">
      <c r="A5" s="122"/>
      <c r="B5" s="122"/>
      <c r="C5" s="125"/>
      <c r="D5" s="120"/>
      <c r="E5" s="4"/>
      <c r="F5" s="117"/>
      <c r="G5" s="4"/>
      <c r="H5" s="4"/>
      <c r="I5" s="93"/>
      <c r="J5" s="93"/>
      <c r="K5" s="93"/>
      <c r="L5" s="93"/>
      <c r="M5" s="93"/>
      <c r="N5" s="93"/>
      <c r="O5" s="93"/>
      <c r="P5" s="93"/>
    </row>
    <row r="6" spans="1:16" ht="33" customHeight="1" x14ac:dyDescent="0.35">
      <c r="A6" s="5" t="s">
        <v>18</v>
      </c>
      <c r="B6" s="6" t="s">
        <v>3</v>
      </c>
      <c r="C6" s="47">
        <v>321842200</v>
      </c>
      <c r="D6" s="47"/>
      <c r="E6" s="49">
        <v>25224049.239999998</v>
      </c>
      <c r="F6" s="49">
        <v>52510426.490000002</v>
      </c>
      <c r="G6" s="49">
        <v>78999504.599999994</v>
      </c>
      <c r="H6" s="49">
        <v>105139319.27</v>
      </c>
      <c r="I6" s="49">
        <v>131329970.12</v>
      </c>
      <c r="J6" s="49">
        <v>157373760.91999999</v>
      </c>
      <c r="K6" s="49"/>
      <c r="L6" s="49"/>
      <c r="M6" s="49"/>
      <c r="N6" s="49"/>
      <c r="O6" s="49"/>
      <c r="P6" s="49"/>
    </row>
    <row r="7" spans="1:16" ht="33" customHeight="1" x14ac:dyDescent="0.35">
      <c r="A7" s="101">
        <f>D7+D8</f>
        <v>12583700</v>
      </c>
      <c r="B7" s="8" t="s">
        <v>4</v>
      </c>
      <c r="C7" s="47">
        <v>5526391.6500000004</v>
      </c>
      <c r="D7" s="47"/>
      <c r="E7" s="51">
        <v>507380.44</v>
      </c>
      <c r="F7" s="51">
        <v>1014167.84</v>
      </c>
      <c r="G7" s="51">
        <v>1549520.04</v>
      </c>
      <c r="H7" s="51">
        <v>1933548.24</v>
      </c>
      <c r="I7" s="49">
        <v>2420723.44</v>
      </c>
      <c r="J7" s="49">
        <v>2774720.64</v>
      </c>
      <c r="K7" s="49"/>
      <c r="L7" s="49"/>
      <c r="M7" s="49"/>
      <c r="N7" s="49"/>
      <c r="O7" s="49"/>
      <c r="P7" s="49"/>
    </row>
    <row r="8" spans="1:16" ht="23.25" x14ac:dyDescent="0.35">
      <c r="A8" s="7"/>
      <c r="B8" s="26" t="s">
        <v>19</v>
      </c>
      <c r="C8" s="47">
        <v>0</v>
      </c>
      <c r="D8" s="47">
        <v>12583700</v>
      </c>
      <c r="E8" s="75">
        <v>879804.83</v>
      </c>
      <c r="F8" s="51">
        <v>1660281.74</v>
      </c>
      <c r="G8" s="78">
        <v>2431261.77</v>
      </c>
      <c r="H8" s="78">
        <v>3714927.1100000003</v>
      </c>
      <c r="I8" s="49">
        <v>4634397.1899999995</v>
      </c>
      <c r="J8" s="49">
        <v>5665297.0600000005</v>
      </c>
      <c r="K8" s="49"/>
      <c r="L8" s="49"/>
      <c r="M8" s="49"/>
      <c r="N8" s="49"/>
      <c r="O8" s="49"/>
      <c r="P8" s="49"/>
    </row>
    <row r="9" spans="1:16" ht="46.5" x14ac:dyDescent="0.35">
      <c r="A9" s="7"/>
      <c r="B9" s="26" t="s">
        <v>46</v>
      </c>
      <c r="C9" s="50">
        <f>17489796.27-2936100</f>
        <v>14553696.27</v>
      </c>
      <c r="D9" s="106">
        <v>19342996.27</v>
      </c>
      <c r="E9" s="107"/>
      <c r="F9" s="108"/>
      <c r="G9" s="108"/>
      <c r="H9" s="108"/>
      <c r="I9" s="109"/>
      <c r="J9" s="110"/>
      <c r="K9" s="110"/>
      <c r="L9" s="110"/>
      <c r="M9" s="110"/>
      <c r="N9" s="110"/>
      <c r="O9" s="110"/>
      <c r="P9" s="110"/>
    </row>
    <row r="10" spans="1:16" ht="33" customHeight="1" x14ac:dyDescent="0.35">
      <c r="A10" s="9" t="s">
        <v>5</v>
      </c>
      <c r="B10" s="10"/>
      <c r="C10" s="11">
        <f t="shared" ref="C10:P10" si="0">SUM(C6:C8)</f>
        <v>327368591.64999998</v>
      </c>
      <c r="D10" s="11">
        <f>C6+C7+D8</f>
        <v>339952291.64999998</v>
      </c>
      <c r="E10" s="12">
        <f t="shared" si="0"/>
        <v>26611234.509999998</v>
      </c>
      <c r="F10" s="12">
        <f t="shared" si="0"/>
        <v>55184876.070000008</v>
      </c>
      <c r="G10" s="12">
        <f t="shared" si="0"/>
        <v>82980286.409999996</v>
      </c>
      <c r="H10" s="12">
        <f t="shared" si="0"/>
        <v>110787794.61999999</v>
      </c>
      <c r="I10" s="97">
        <f t="shared" si="0"/>
        <v>138385090.75</v>
      </c>
      <c r="J10" s="99">
        <f t="shared" si="0"/>
        <v>165813778.61999997</v>
      </c>
      <c r="K10" s="99">
        <f t="shared" si="0"/>
        <v>0</v>
      </c>
      <c r="L10" s="99">
        <f t="shared" si="0"/>
        <v>0</v>
      </c>
      <c r="M10" s="99">
        <f t="shared" si="0"/>
        <v>0</v>
      </c>
      <c r="N10" s="99">
        <f t="shared" si="0"/>
        <v>0</v>
      </c>
      <c r="O10" s="99">
        <f t="shared" si="0"/>
        <v>0</v>
      </c>
      <c r="P10" s="99">
        <f t="shared" si="0"/>
        <v>0</v>
      </c>
    </row>
    <row r="11" spans="1:16" ht="33" customHeight="1" x14ac:dyDescent="0.35">
      <c r="A11" s="9" t="s">
        <v>6</v>
      </c>
      <c r="B11" s="13"/>
      <c r="C11" s="52"/>
      <c r="D11" s="53"/>
      <c r="E11" s="54">
        <f>(E10/D10)</f>
        <v>7.8279320844813607E-2</v>
      </c>
      <c r="F11" s="54">
        <f>F10/D10</f>
        <v>0.16233123713375625</v>
      </c>
      <c r="G11" s="54">
        <f>G10/D10</f>
        <v>0.24409391684711121</v>
      </c>
      <c r="H11" s="54">
        <f>H10/D10</f>
        <v>0.32589218352457017</v>
      </c>
      <c r="I11" s="68">
        <f>I10/D10</f>
        <v>0.407072092611381</v>
      </c>
      <c r="J11" s="68">
        <f>J10/D10</f>
        <v>0.48775602545640312</v>
      </c>
      <c r="K11" s="68">
        <f>K10/$D10</f>
        <v>0</v>
      </c>
      <c r="L11" s="68">
        <f>L10/$D10</f>
        <v>0</v>
      </c>
      <c r="M11" s="68">
        <f t="shared" ref="M11:P11" si="1">M10/$D10</f>
        <v>0</v>
      </c>
      <c r="N11" s="68">
        <f t="shared" si="1"/>
        <v>0</v>
      </c>
      <c r="O11" s="68">
        <f>O10/$D10</f>
        <v>0</v>
      </c>
      <c r="P11" s="68">
        <f t="shared" si="1"/>
        <v>0</v>
      </c>
    </row>
    <row r="12" spans="1:16" ht="33" customHeight="1" x14ac:dyDescent="0.35">
      <c r="A12" s="14" t="s">
        <v>21</v>
      </c>
      <c r="B12" s="8" t="s">
        <v>4</v>
      </c>
      <c r="C12" s="55">
        <f>20626800-364466.45</f>
        <v>20262333.550000001</v>
      </c>
      <c r="D12" s="55">
        <f>20626800-364466.45-6477700+630103.36</f>
        <v>14414736.91</v>
      </c>
      <c r="E12" s="57">
        <v>123372.53</v>
      </c>
      <c r="F12" s="57">
        <v>445184.53</v>
      </c>
      <c r="G12" s="57">
        <v>1588555.46</v>
      </c>
      <c r="H12" s="57">
        <v>2347465.23</v>
      </c>
      <c r="I12" s="57">
        <v>3964489.25</v>
      </c>
      <c r="J12" s="57">
        <v>5060649.72</v>
      </c>
      <c r="K12" s="57"/>
      <c r="L12" s="57"/>
      <c r="M12" s="57"/>
      <c r="N12" s="57"/>
      <c r="O12" s="57"/>
      <c r="P12" s="57"/>
    </row>
    <row r="13" spans="1:16" ht="33" customHeight="1" x14ac:dyDescent="0.35">
      <c r="A13" s="13"/>
      <c r="B13" s="15" t="s">
        <v>7</v>
      </c>
      <c r="C13" s="55">
        <v>4075000</v>
      </c>
      <c r="D13" s="64">
        <v>5565471.25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16" ht="33" customHeight="1" x14ac:dyDescent="0.35">
      <c r="A14" s="21"/>
      <c r="B14" s="20" t="s">
        <v>8</v>
      </c>
      <c r="C14" s="59">
        <v>0</v>
      </c>
      <c r="D14" s="59">
        <v>0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16" ht="33" customHeight="1" x14ac:dyDescent="0.35">
      <c r="A15" s="21"/>
      <c r="B15" s="23" t="s">
        <v>9</v>
      </c>
      <c r="C15" s="59">
        <v>0</v>
      </c>
      <c r="D15" s="59">
        <v>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6" ht="33" customHeight="1" x14ac:dyDescent="0.35">
      <c r="A16" s="9" t="s">
        <v>5</v>
      </c>
      <c r="B16" s="13"/>
      <c r="C16" s="18">
        <f>SUM(C12:C15)</f>
        <v>24337333.550000001</v>
      </c>
      <c r="D16" s="18">
        <f t="shared" ref="D16:P16" si="2">SUM(D12:D15)</f>
        <v>19980208.16</v>
      </c>
      <c r="E16" s="18">
        <f t="shared" si="2"/>
        <v>123372.53</v>
      </c>
      <c r="F16" s="18">
        <f t="shared" si="2"/>
        <v>445184.53</v>
      </c>
      <c r="G16" s="18">
        <f t="shared" si="2"/>
        <v>1588555.46</v>
      </c>
      <c r="H16" s="18">
        <f t="shared" si="2"/>
        <v>2347465.23</v>
      </c>
      <c r="I16" s="18">
        <f t="shared" si="2"/>
        <v>3964489.25</v>
      </c>
      <c r="J16" s="18">
        <f t="shared" si="2"/>
        <v>5060649.72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8">
        <f t="shared" si="2"/>
        <v>0</v>
      </c>
      <c r="O16" s="18">
        <f t="shared" si="2"/>
        <v>0</v>
      </c>
      <c r="P16" s="18">
        <f t="shared" si="2"/>
        <v>0</v>
      </c>
    </row>
    <row r="17" spans="1:16" ht="33" customHeight="1" x14ac:dyDescent="0.35">
      <c r="A17" s="9" t="s">
        <v>6</v>
      </c>
      <c r="B17" s="13"/>
      <c r="C17" s="52"/>
      <c r="D17" s="53"/>
      <c r="E17" s="54">
        <f>(E16/C16)</f>
        <v>5.0692706227055016E-3</v>
      </c>
      <c r="F17" s="54">
        <f>F16/C16</f>
        <v>1.8292247549855353E-2</v>
      </c>
      <c r="G17" s="54">
        <f>G16/C16</f>
        <v>6.5272370809907401E-2</v>
      </c>
      <c r="H17" s="54">
        <f>H16/C16</f>
        <v>9.6455317308169114E-2</v>
      </c>
      <c r="I17" s="68">
        <f>I16/C16</f>
        <v>0.16289743664215015</v>
      </c>
      <c r="J17" s="68">
        <f>J16/$C16</f>
        <v>0.2079377229063781</v>
      </c>
      <c r="K17" s="68">
        <f>K16/$C16</f>
        <v>0</v>
      </c>
      <c r="L17" s="68">
        <f>L16/$C16</f>
        <v>0</v>
      </c>
      <c r="M17" s="68">
        <f t="shared" ref="M17" si="3">M16/$C16</f>
        <v>0</v>
      </c>
      <c r="N17" s="68">
        <f>N16/$D16</f>
        <v>0</v>
      </c>
      <c r="O17" s="68">
        <f>O16/$D16</f>
        <v>0</v>
      </c>
      <c r="P17" s="68">
        <f t="shared" ref="P17" si="4">P16/$D16</f>
        <v>0</v>
      </c>
    </row>
    <row r="18" spans="1:16" ht="33" customHeight="1" x14ac:dyDescent="0.35">
      <c r="A18" s="19" t="s">
        <v>22</v>
      </c>
      <c r="B18" s="20" t="s">
        <v>4</v>
      </c>
      <c r="C18" s="59">
        <f>2255900-857200</f>
        <v>1398700</v>
      </c>
      <c r="D18" s="59">
        <v>1398700</v>
      </c>
      <c r="E18" s="60">
        <v>350</v>
      </c>
      <c r="F18" s="60">
        <v>65805</v>
      </c>
      <c r="G18" s="60">
        <v>131037</v>
      </c>
      <c r="H18" s="60">
        <v>278837.59999999998</v>
      </c>
      <c r="I18" s="60">
        <v>350687.6</v>
      </c>
      <c r="J18" s="60">
        <v>422094.69999999995</v>
      </c>
      <c r="K18" s="60"/>
      <c r="L18" s="60"/>
      <c r="M18" s="60"/>
      <c r="N18" s="60"/>
      <c r="O18" s="60"/>
      <c r="P18" s="60"/>
    </row>
    <row r="19" spans="1:16" ht="33" customHeight="1" x14ac:dyDescent="0.35">
      <c r="A19" s="21"/>
      <c r="B19" s="22" t="s">
        <v>7</v>
      </c>
      <c r="C19" s="58">
        <v>0</v>
      </c>
      <c r="D19" s="58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ht="33" customHeight="1" x14ac:dyDescent="0.35">
      <c r="A20" s="21"/>
      <c r="B20" s="20" t="s">
        <v>8</v>
      </c>
      <c r="C20" s="59">
        <v>21000</v>
      </c>
      <c r="D20" s="59">
        <v>19658.8</v>
      </c>
      <c r="E20" s="57"/>
      <c r="F20" s="57"/>
      <c r="G20" s="57"/>
      <c r="H20" s="57"/>
      <c r="I20" s="57"/>
      <c r="J20" s="57">
        <v>19658.8</v>
      </c>
      <c r="K20" s="57"/>
      <c r="L20" s="57"/>
      <c r="M20" s="57"/>
      <c r="N20" s="57"/>
      <c r="O20" s="57"/>
      <c r="P20" s="57"/>
    </row>
    <row r="21" spans="1:16" ht="33" customHeight="1" x14ac:dyDescent="0.35">
      <c r="A21" s="21"/>
      <c r="B21" s="23" t="s">
        <v>9</v>
      </c>
      <c r="C21" s="59">
        <v>10619400</v>
      </c>
      <c r="D21" s="59">
        <v>10619211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6" ht="33" customHeight="1" x14ac:dyDescent="0.35">
      <c r="A22" s="24" t="s">
        <v>5</v>
      </c>
      <c r="B22" s="25"/>
      <c r="C22" s="17">
        <f>SUM(C18:C21)</f>
        <v>12039100</v>
      </c>
      <c r="D22" s="18">
        <f>SUM(D18:D21)</f>
        <v>12037569.800000001</v>
      </c>
      <c r="E22" s="12">
        <f>SUM(E18:E21)</f>
        <v>350</v>
      </c>
      <c r="F22" s="12">
        <f t="shared" ref="F22:K22" si="5">SUM(F18:F21)</f>
        <v>65805</v>
      </c>
      <c r="G22" s="12">
        <f t="shared" si="5"/>
        <v>131037</v>
      </c>
      <c r="H22" s="12">
        <f t="shared" si="5"/>
        <v>278837.59999999998</v>
      </c>
      <c r="I22" s="97">
        <f t="shared" si="5"/>
        <v>350687.6</v>
      </c>
      <c r="J22" s="97">
        <f t="shared" si="5"/>
        <v>441753.49999999994</v>
      </c>
      <c r="K22" s="97">
        <f t="shared" si="5"/>
        <v>0</v>
      </c>
      <c r="L22" s="97">
        <f t="shared" ref="L22" si="6">SUM(L18:L21)</f>
        <v>0</v>
      </c>
      <c r="M22" s="97">
        <f t="shared" ref="M22:N22" si="7">SUM(M18:M21)</f>
        <v>0</v>
      </c>
      <c r="N22" s="97">
        <f t="shared" si="7"/>
        <v>0</v>
      </c>
      <c r="O22" s="97">
        <f t="shared" ref="O22:P22" si="8">SUM(O18:O21)</f>
        <v>0</v>
      </c>
      <c r="P22" s="97">
        <f t="shared" si="8"/>
        <v>0</v>
      </c>
    </row>
    <row r="23" spans="1:16" ht="33" customHeight="1" x14ac:dyDescent="0.35">
      <c r="A23" s="24" t="s">
        <v>6</v>
      </c>
      <c r="B23" s="25"/>
      <c r="C23" s="61"/>
      <c r="D23" s="62"/>
      <c r="E23" s="63">
        <f t="shared" ref="E23:H23" si="9">E22/$C22</f>
        <v>2.9071940593565966E-5</v>
      </c>
      <c r="F23" s="63">
        <f t="shared" si="9"/>
        <v>5.4659401450274526E-3</v>
      </c>
      <c r="G23" s="54">
        <f t="shared" si="9"/>
        <v>1.0884285370168867E-2</v>
      </c>
      <c r="H23" s="54">
        <f t="shared" si="9"/>
        <v>2.3161000407007165E-2</v>
      </c>
      <c r="I23" s="68">
        <f>I22/$C22</f>
        <v>2.9129054497429207E-2</v>
      </c>
      <c r="J23" s="68">
        <f>J22/C22</f>
        <v>3.669323288285669E-2</v>
      </c>
      <c r="K23" s="68">
        <f>K22/$C22</f>
        <v>0</v>
      </c>
      <c r="L23" s="68">
        <f t="shared" ref="L23:N23" si="10">L22/$C22</f>
        <v>0</v>
      </c>
      <c r="M23" s="68">
        <f t="shared" si="10"/>
        <v>0</v>
      </c>
      <c r="N23" s="68">
        <f t="shared" si="10"/>
        <v>0</v>
      </c>
      <c r="O23" s="68">
        <f>O22/$D22</f>
        <v>0</v>
      </c>
      <c r="P23" s="68">
        <f t="shared" ref="P23" si="11">P22/$D22</f>
        <v>0</v>
      </c>
    </row>
    <row r="24" spans="1:16" ht="33" customHeight="1" x14ac:dyDescent="0.35">
      <c r="A24" s="26" t="s">
        <v>33</v>
      </c>
      <c r="B24" s="8" t="s">
        <v>4</v>
      </c>
      <c r="C24" s="55">
        <f>6969500-184000</f>
        <v>6785500</v>
      </c>
      <c r="D24" s="55">
        <v>5433800</v>
      </c>
      <c r="E24" s="57"/>
      <c r="F24" s="57">
        <v>265656.68</v>
      </c>
      <c r="G24" s="57">
        <v>696090.02</v>
      </c>
      <c r="H24" s="57">
        <v>1423844.85</v>
      </c>
      <c r="I24" s="57">
        <v>1699066.52</v>
      </c>
      <c r="J24" s="57">
        <v>2199849.75</v>
      </c>
      <c r="K24" s="57"/>
      <c r="L24" s="57"/>
      <c r="M24" s="57"/>
      <c r="N24" s="57"/>
      <c r="O24" s="57"/>
      <c r="P24" s="57"/>
    </row>
    <row r="25" spans="1:16" ht="33" customHeight="1" x14ac:dyDescent="0.35">
      <c r="A25" s="13"/>
      <c r="B25" s="15" t="s">
        <v>7</v>
      </c>
      <c r="C25" s="64">
        <v>10119500</v>
      </c>
      <c r="D25" s="65">
        <v>8955586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1:16" ht="33" customHeight="1" x14ac:dyDescent="0.35">
      <c r="A26" s="13"/>
      <c r="B26" s="8" t="s">
        <v>8</v>
      </c>
      <c r="C26" s="91">
        <v>6500</v>
      </c>
      <c r="D26" s="66">
        <v>6500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ht="33" customHeight="1" x14ac:dyDescent="0.35">
      <c r="A27" s="13"/>
      <c r="B27" s="16" t="s">
        <v>9</v>
      </c>
      <c r="C27" s="58">
        <v>0</v>
      </c>
      <c r="D27" s="56">
        <v>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ht="33" customHeight="1" x14ac:dyDescent="0.35">
      <c r="A28" s="9" t="s">
        <v>5</v>
      </c>
      <c r="B28" s="13"/>
      <c r="C28" s="17">
        <f>SUM(C24:C27)</f>
        <v>16911500</v>
      </c>
      <c r="D28" s="18">
        <f>SUM(D24:D27)</f>
        <v>14395886</v>
      </c>
      <c r="E28" s="12">
        <f>SUM(E24:E27)</f>
        <v>0</v>
      </c>
      <c r="F28" s="12">
        <f t="shared" ref="F28:K28" si="12">SUM(F24:F27)</f>
        <v>265656.68</v>
      </c>
      <c r="G28" s="12">
        <f t="shared" si="12"/>
        <v>696090.02</v>
      </c>
      <c r="H28" s="12">
        <f t="shared" si="12"/>
        <v>1423844.85</v>
      </c>
      <c r="I28" s="97">
        <f t="shared" si="12"/>
        <v>1699066.52</v>
      </c>
      <c r="J28" s="97">
        <f t="shared" si="12"/>
        <v>2199849.75</v>
      </c>
      <c r="K28" s="97">
        <f t="shared" si="12"/>
        <v>0</v>
      </c>
      <c r="L28" s="97">
        <f t="shared" ref="L28" si="13">SUM(L24:L27)</f>
        <v>0</v>
      </c>
      <c r="M28" s="97">
        <f t="shared" ref="M28:N28" si="14">SUM(M24:M27)</f>
        <v>0</v>
      </c>
      <c r="N28" s="97">
        <f t="shared" si="14"/>
        <v>0</v>
      </c>
      <c r="O28" s="97">
        <f t="shared" ref="O28:P28" si="15">SUM(O24:O27)</f>
        <v>0</v>
      </c>
      <c r="P28" s="97">
        <f t="shared" si="15"/>
        <v>0</v>
      </c>
    </row>
    <row r="29" spans="1:16" ht="33" customHeight="1" x14ac:dyDescent="0.35">
      <c r="A29" s="9" t="s">
        <v>6</v>
      </c>
      <c r="B29" s="13"/>
      <c r="C29" s="52"/>
      <c r="D29" s="53"/>
      <c r="E29" s="54">
        <f t="shared" ref="E29:I29" si="16">E28/$C28</f>
        <v>0</v>
      </c>
      <c r="F29" s="54">
        <f t="shared" si="16"/>
        <v>1.5708640865683115E-2</v>
      </c>
      <c r="G29" s="54">
        <f t="shared" si="16"/>
        <v>4.116074978564882E-2</v>
      </c>
      <c r="H29" s="54">
        <f t="shared" si="16"/>
        <v>8.4193882860775213E-2</v>
      </c>
      <c r="I29" s="68">
        <f t="shared" si="16"/>
        <v>0.1004681145965763</v>
      </c>
      <c r="J29" s="68">
        <f>J28/C28</f>
        <v>0.13008010821038937</v>
      </c>
      <c r="K29" s="68">
        <f>K28/$C28</f>
        <v>0</v>
      </c>
      <c r="L29" s="68">
        <f t="shared" ref="L29:M29" si="17">L28/$C28</f>
        <v>0</v>
      </c>
      <c r="M29" s="68">
        <f t="shared" si="17"/>
        <v>0</v>
      </c>
      <c r="N29" s="68">
        <f>N28/$D28</f>
        <v>0</v>
      </c>
      <c r="O29" s="68">
        <f>O28/$D28</f>
        <v>0</v>
      </c>
      <c r="P29" s="68">
        <f t="shared" ref="P29" si="18">P28/$D28</f>
        <v>0</v>
      </c>
    </row>
    <row r="30" spans="1:16" ht="33" customHeight="1" x14ac:dyDescent="0.35">
      <c r="A30" s="14" t="s">
        <v>31</v>
      </c>
      <c r="B30" s="8" t="s">
        <v>4</v>
      </c>
      <c r="C30" s="64">
        <f>15684000-374000</f>
        <v>15310000</v>
      </c>
      <c r="D30" s="64">
        <v>13470500</v>
      </c>
      <c r="E30" s="49">
        <v>12990</v>
      </c>
      <c r="F30" s="49">
        <v>48477.5</v>
      </c>
      <c r="G30" s="49">
        <v>1082875.6399999999</v>
      </c>
      <c r="H30" s="49">
        <v>2481017.04</v>
      </c>
      <c r="I30" s="49">
        <v>4075697.89</v>
      </c>
      <c r="J30" s="49">
        <v>5336476.28</v>
      </c>
      <c r="K30" s="49"/>
      <c r="L30" s="49"/>
      <c r="M30" s="49"/>
      <c r="N30" s="49"/>
      <c r="O30" s="49"/>
      <c r="P30" s="49"/>
    </row>
    <row r="31" spans="1:16" ht="33" customHeight="1" x14ac:dyDescent="0.35">
      <c r="A31" s="13"/>
      <c r="B31" s="15" t="s">
        <v>7</v>
      </c>
      <c r="C31" s="55">
        <v>1793000</v>
      </c>
      <c r="D31" s="56">
        <v>1546383.44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ht="33" customHeight="1" x14ac:dyDescent="0.35">
      <c r="A32" s="13"/>
      <c r="B32" s="8" t="s">
        <v>8</v>
      </c>
      <c r="C32" s="58">
        <v>0</v>
      </c>
      <c r="D32" s="56">
        <v>0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ht="33" customHeight="1" x14ac:dyDescent="0.35">
      <c r="A33" s="13"/>
      <c r="B33" s="16" t="s">
        <v>9</v>
      </c>
      <c r="C33" s="55">
        <v>2733300</v>
      </c>
      <c r="D33" s="56">
        <v>2730000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ht="33" customHeight="1" x14ac:dyDescent="0.35">
      <c r="A34" s="27" t="s">
        <v>5</v>
      </c>
      <c r="B34" s="13"/>
      <c r="C34" s="17">
        <f>SUM(C30:C33)</f>
        <v>19836300</v>
      </c>
      <c r="D34" s="18">
        <f>SUM(D30:D33)</f>
        <v>17746883.439999998</v>
      </c>
      <c r="E34" s="12">
        <f>SUM(E30:E33)</f>
        <v>12990</v>
      </c>
      <c r="F34" s="12">
        <f t="shared" ref="F34:K34" si="19">SUM(F30:F33)</f>
        <v>48477.5</v>
      </c>
      <c r="G34" s="12">
        <f t="shared" si="19"/>
        <v>1082875.6399999999</v>
      </c>
      <c r="H34" s="12">
        <f t="shared" si="19"/>
        <v>2481017.04</v>
      </c>
      <c r="I34" s="97">
        <f t="shared" si="19"/>
        <v>4075697.89</v>
      </c>
      <c r="J34" s="97">
        <f t="shared" si="19"/>
        <v>5336476.28</v>
      </c>
      <c r="K34" s="97">
        <f t="shared" si="19"/>
        <v>0</v>
      </c>
      <c r="L34" s="97">
        <f t="shared" ref="L34" si="20">SUM(L30:L33)</f>
        <v>0</v>
      </c>
      <c r="M34" s="97">
        <f t="shared" ref="M34:N34" si="21">SUM(M30:M33)</f>
        <v>0</v>
      </c>
      <c r="N34" s="97">
        <f t="shared" si="21"/>
        <v>0</v>
      </c>
      <c r="O34" s="97">
        <f t="shared" ref="O34:P34" si="22">SUM(O30:O33)</f>
        <v>0</v>
      </c>
      <c r="P34" s="97">
        <f t="shared" si="22"/>
        <v>0</v>
      </c>
    </row>
    <row r="35" spans="1:16" ht="33" customHeight="1" x14ac:dyDescent="0.35">
      <c r="A35" s="9" t="s">
        <v>6</v>
      </c>
      <c r="B35" s="13"/>
      <c r="C35" s="52"/>
      <c r="D35" s="53"/>
      <c r="E35" s="54">
        <f t="shared" ref="E35:H35" si="23">E34/$C34</f>
        <v>6.5486002934014907E-4</v>
      </c>
      <c r="F35" s="68">
        <f t="shared" si="23"/>
        <v>2.4438781425971576E-3</v>
      </c>
      <c r="G35" s="54">
        <f t="shared" si="23"/>
        <v>5.459060611101868E-2</v>
      </c>
      <c r="H35" s="54">
        <f t="shared" si="23"/>
        <v>0.12507458749867667</v>
      </c>
      <c r="I35" s="68">
        <f>I34/$C34</f>
        <v>0.20546663893972164</v>
      </c>
      <c r="J35" s="68">
        <f>J34/C34</f>
        <v>0.26902579009190225</v>
      </c>
      <c r="K35" s="68">
        <f>K34/$C34</f>
        <v>0</v>
      </c>
      <c r="L35" s="68">
        <f t="shared" ref="L35:M35" si="24">L34/$C34</f>
        <v>0</v>
      </c>
      <c r="M35" s="68">
        <f t="shared" si="24"/>
        <v>0</v>
      </c>
      <c r="N35" s="68">
        <f>N34/$D34</f>
        <v>0</v>
      </c>
      <c r="O35" s="68">
        <f>O34/$D34</f>
        <v>0</v>
      </c>
      <c r="P35" s="68">
        <f t="shared" ref="P35" si="25">P34/$D34</f>
        <v>0</v>
      </c>
    </row>
    <row r="36" spans="1:16" ht="33" customHeight="1" x14ac:dyDescent="0.35">
      <c r="A36" s="5" t="s">
        <v>32</v>
      </c>
      <c r="B36" s="8" t="s">
        <v>4</v>
      </c>
      <c r="C36" s="64">
        <f>1928900-523740</f>
        <v>1405160</v>
      </c>
      <c r="D36" s="64">
        <v>1405160</v>
      </c>
      <c r="E36" s="49">
        <v>1115</v>
      </c>
      <c r="F36" s="76">
        <v>63352</v>
      </c>
      <c r="G36" s="49">
        <v>216176.8</v>
      </c>
      <c r="H36" s="49">
        <v>270592.8</v>
      </c>
      <c r="I36" s="49">
        <v>320765.36</v>
      </c>
      <c r="J36" s="49">
        <v>470151.92</v>
      </c>
      <c r="K36" s="49"/>
      <c r="L36" s="49"/>
      <c r="M36" s="49"/>
      <c r="N36" s="49"/>
      <c r="O36" s="49"/>
      <c r="P36" s="49"/>
    </row>
    <row r="37" spans="1:16" ht="33" customHeight="1" x14ac:dyDescent="0.35">
      <c r="A37" s="13"/>
      <c r="B37" s="15" t="s">
        <v>7</v>
      </c>
      <c r="C37" s="64">
        <v>62500</v>
      </c>
      <c r="D37" s="65">
        <v>113186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33" customHeight="1" x14ac:dyDescent="0.35">
      <c r="A38" s="13"/>
      <c r="B38" s="8" t="s">
        <v>8</v>
      </c>
      <c r="C38" s="58">
        <v>0</v>
      </c>
      <c r="D38" s="65">
        <v>0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ht="33" customHeight="1" x14ac:dyDescent="0.35">
      <c r="A39" s="13"/>
      <c r="B39" s="16" t="s">
        <v>9</v>
      </c>
      <c r="C39" s="64">
        <v>11556000</v>
      </c>
      <c r="D39" s="65">
        <v>11449000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ht="33" customHeight="1" x14ac:dyDescent="0.35">
      <c r="A40" s="27" t="s">
        <v>5</v>
      </c>
      <c r="B40" s="13"/>
      <c r="C40" s="17">
        <f>SUM(C36:C39)</f>
        <v>13023660</v>
      </c>
      <c r="D40" s="18">
        <f>SUM(D36:D39)</f>
        <v>12967346</v>
      </c>
      <c r="E40" s="12">
        <f>SUM(E36:E39)</f>
        <v>1115</v>
      </c>
      <c r="F40" s="12">
        <f t="shared" ref="F40:K40" si="26">SUM(F36:F39)</f>
        <v>63352</v>
      </c>
      <c r="G40" s="12">
        <f t="shared" si="26"/>
        <v>216176.8</v>
      </c>
      <c r="H40" s="12">
        <f t="shared" si="26"/>
        <v>270592.8</v>
      </c>
      <c r="I40" s="97">
        <f t="shared" si="26"/>
        <v>320765.36</v>
      </c>
      <c r="J40" s="97">
        <f t="shared" si="26"/>
        <v>470151.92</v>
      </c>
      <c r="K40" s="97">
        <f t="shared" si="26"/>
        <v>0</v>
      </c>
      <c r="L40" s="97">
        <f t="shared" ref="L40" si="27">SUM(L36:L39)</f>
        <v>0</v>
      </c>
      <c r="M40" s="97">
        <f t="shared" ref="M40:N40" si="28">SUM(M36:M39)</f>
        <v>0</v>
      </c>
      <c r="N40" s="97">
        <f t="shared" si="28"/>
        <v>0</v>
      </c>
      <c r="O40" s="97">
        <f t="shared" ref="O40:P40" si="29">SUM(O36:O39)</f>
        <v>0</v>
      </c>
      <c r="P40" s="97">
        <f t="shared" si="29"/>
        <v>0</v>
      </c>
    </row>
    <row r="41" spans="1:16" ht="33" customHeight="1" x14ac:dyDescent="0.35">
      <c r="A41" s="9" t="s">
        <v>6</v>
      </c>
      <c r="B41" s="13"/>
      <c r="C41" s="52"/>
      <c r="D41" s="67"/>
      <c r="E41" s="68">
        <f t="shared" ref="E41:I41" si="30">E40/$C40</f>
        <v>8.5613414355104476E-5</v>
      </c>
      <c r="F41" s="68">
        <f t="shared" si="30"/>
        <v>4.8643776019951382E-3</v>
      </c>
      <c r="G41" s="68">
        <f t="shared" si="30"/>
        <v>1.6598774845166413E-2</v>
      </c>
      <c r="H41" s="68">
        <f t="shared" si="30"/>
        <v>2.0777016599020551E-2</v>
      </c>
      <c r="I41" s="68">
        <f t="shared" si="30"/>
        <v>2.4629432893671976E-2</v>
      </c>
      <c r="J41" s="68">
        <f>J40/C40</f>
        <v>3.6099830615971239E-2</v>
      </c>
      <c r="K41" s="68">
        <f>K40/$C40</f>
        <v>0</v>
      </c>
      <c r="L41" s="68">
        <f t="shared" ref="L41:M41" si="31">L40/$C40</f>
        <v>0</v>
      </c>
      <c r="M41" s="68">
        <f t="shared" si="31"/>
        <v>0</v>
      </c>
      <c r="N41" s="68">
        <f>N40/$D40</f>
        <v>0</v>
      </c>
      <c r="O41" s="68">
        <f>O40/$D40</f>
        <v>0</v>
      </c>
      <c r="P41" s="68">
        <f t="shared" ref="P41" si="32">P40/$D40</f>
        <v>0</v>
      </c>
    </row>
    <row r="42" spans="1:16" ht="33" customHeight="1" x14ac:dyDescent="0.35">
      <c r="A42" s="26" t="s">
        <v>23</v>
      </c>
      <c r="B42" s="8" t="s">
        <v>4</v>
      </c>
      <c r="C42" s="55">
        <f>57422800-6184789.82</f>
        <v>51238010.18</v>
      </c>
      <c r="D42" s="55">
        <f>57422800-6184789.82-1615700+2000000+1028037</f>
        <v>52650347.18</v>
      </c>
      <c r="E42" s="69">
        <v>643857.51</v>
      </c>
      <c r="F42" s="69">
        <v>1296556.94</v>
      </c>
      <c r="G42" s="69">
        <v>2010421.92</v>
      </c>
      <c r="H42" s="69">
        <v>2734215.2700000005</v>
      </c>
      <c r="I42" s="94">
        <v>3376449.0300000003</v>
      </c>
      <c r="J42" s="94">
        <v>16827569.41</v>
      </c>
      <c r="K42" s="94"/>
      <c r="L42" s="94"/>
      <c r="M42" s="94"/>
      <c r="N42" s="94"/>
      <c r="O42" s="94"/>
      <c r="P42" s="94"/>
    </row>
    <row r="43" spans="1:16" ht="33" customHeight="1" x14ac:dyDescent="0.35">
      <c r="A43" s="13"/>
      <c r="B43" s="15" t="s">
        <v>7</v>
      </c>
      <c r="C43" s="55">
        <f>308993500-15560500</f>
        <v>293433000</v>
      </c>
      <c r="D43" s="65">
        <v>276313138.51999998</v>
      </c>
      <c r="E43" s="57"/>
      <c r="F43" s="57">
        <v>9600000</v>
      </c>
      <c r="G43" s="57">
        <v>9600000</v>
      </c>
      <c r="H43" s="57">
        <v>9600000</v>
      </c>
      <c r="I43" s="57">
        <v>9600000</v>
      </c>
      <c r="J43" s="57">
        <v>26182169.600000001</v>
      </c>
      <c r="K43" s="57"/>
      <c r="L43" s="57"/>
      <c r="M43" s="57"/>
      <c r="N43" s="57"/>
      <c r="O43" s="57"/>
      <c r="P43" s="57"/>
    </row>
    <row r="44" spans="1:16" ht="33" customHeight="1" x14ac:dyDescent="0.35">
      <c r="A44" s="13"/>
      <c r="B44" s="8" t="s">
        <v>8</v>
      </c>
      <c r="C44" s="58">
        <v>0</v>
      </c>
      <c r="D44" s="58">
        <v>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 ht="33" customHeight="1" x14ac:dyDescent="0.35">
      <c r="A45" s="13"/>
      <c r="B45" s="16" t="s">
        <v>9</v>
      </c>
      <c r="C45" s="58">
        <v>0</v>
      </c>
      <c r="D45" s="58">
        <v>0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 ht="33" customHeight="1" x14ac:dyDescent="0.35">
      <c r="A46" s="27" t="s">
        <v>5</v>
      </c>
      <c r="B46" s="13"/>
      <c r="C46" s="17">
        <f>SUM(C42:C45)</f>
        <v>344671010.18000001</v>
      </c>
      <c r="D46" s="18">
        <f>SUM(D42:D45)</f>
        <v>328963485.69999999</v>
      </c>
      <c r="E46" s="12">
        <f>SUM(E42:E45)</f>
        <v>643857.51</v>
      </c>
      <c r="F46" s="12">
        <f t="shared" ref="F46:K46" si="33">SUM(F42:F45)</f>
        <v>10896556.939999999</v>
      </c>
      <c r="G46" s="12">
        <f t="shared" si="33"/>
        <v>11610421.92</v>
      </c>
      <c r="H46" s="12">
        <f t="shared" si="33"/>
        <v>12334215.27</v>
      </c>
      <c r="I46" s="97">
        <f t="shared" si="33"/>
        <v>12976449.030000001</v>
      </c>
      <c r="J46" s="97">
        <f t="shared" si="33"/>
        <v>43009739.010000005</v>
      </c>
      <c r="K46" s="97">
        <f t="shared" si="33"/>
        <v>0</v>
      </c>
      <c r="L46" s="97">
        <f t="shared" ref="L46" si="34">SUM(L42:L45)</f>
        <v>0</v>
      </c>
      <c r="M46" s="97">
        <f t="shared" ref="M46:N46" si="35">SUM(M42:M45)</f>
        <v>0</v>
      </c>
      <c r="N46" s="97">
        <f t="shared" si="35"/>
        <v>0</v>
      </c>
      <c r="O46" s="97">
        <f t="shared" ref="O46:P46" si="36">SUM(O42:O45)</f>
        <v>0</v>
      </c>
      <c r="P46" s="97">
        <f t="shared" si="36"/>
        <v>0</v>
      </c>
    </row>
    <row r="47" spans="1:16" ht="33" customHeight="1" x14ac:dyDescent="0.35">
      <c r="A47" s="9" t="s">
        <v>6</v>
      </c>
      <c r="B47" s="13"/>
      <c r="C47" s="52"/>
      <c r="D47" s="53"/>
      <c r="E47" s="54">
        <f t="shared" ref="E47:I47" si="37">E46/$C46</f>
        <v>1.86803499854471E-3</v>
      </c>
      <c r="F47" s="54">
        <f t="shared" si="37"/>
        <v>3.1614370278223898E-2</v>
      </c>
      <c r="G47" s="54">
        <f t="shared" si="37"/>
        <v>3.3685519167790196E-2</v>
      </c>
      <c r="H47" s="54">
        <f t="shared" si="37"/>
        <v>3.5785473410016741E-2</v>
      </c>
      <c r="I47" s="68">
        <f t="shared" si="37"/>
        <v>3.7648797394429015E-2</v>
      </c>
      <c r="J47" s="68">
        <f>J46/C46</f>
        <v>0.12478490427012913</v>
      </c>
      <c r="K47" s="68">
        <f>K46/$C46</f>
        <v>0</v>
      </c>
      <c r="L47" s="68">
        <f t="shared" ref="L47:M47" si="38">L46/$C46</f>
        <v>0</v>
      </c>
      <c r="M47" s="68">
        <f t="shared" si="38"/>
        <v>0</v>
      </c>
      <c r="N47" s="68">
        <f>N46/$D46</f>
        <v>0</v>
      </c>
      <c r="O47" s="68">
        <f>O46/$D46</f>
        <v>0</v>
      </c>
      <c r="P47" s="68">
        <f t="shared" ref="P47" si="39">P46/$D46</f>
        <v>0</v>
      </c>
    </row>
    <row r="48" spans="1:16" ht="33" customHeight="1" x14ac:dyDescent="0.35">
      <c r="A48" s="5" t="s">
        <v>24</v>
      </c>
      <c r="B48" s="82" t="s">
        <v>4</v>
      </c>
      <c r="C48" s="64">
        <f>1331600-327400</f>
        <v>1004200</v>
      </c>
      <c r="D48" s="64">
        <v>1004200</v>
      </c>
      <c r="E48" s="49">
        <v>39664.199999999997</v>
      </c>
      <c r="F48" s="49">
        <v>68167.199999999997</v>
      </c>
      <c r="G48" s="49">
        <v>137908.10999999999</v>
      </c>
      <c r="H48" s="49">
        <v>155012.10999999999</v>
      </c>
      <c r="I48" s="49">
        <v>324021.78999999998</v>
      </c>
      <c r="J48" s="49">
        <v>361385.44</v>
      </c>
      <c r="K48" s="49"/>
      <c r="L48" s="49"/>
      <c r="M48" s="49"/>
      <c r="N48" s="49"/>
      <c r="O48" s="49"/>
      <c r="P48" s="49"/>
    </row>
    <row r="49" spans="1:16" ht="33" customHeight="1" x14ac:dyDescent="0.35">
      <c r="A49" s="25"/>
      <c r="B49" s="83" t="s">
        <v>7</v>
      </c>
      <c r="C49" s="64">
        <v>15433500</v>
      </c>
      <c r="D49" s="65">
        <v>15287715.449999999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1:16" ht="33" customHeight="1" x14ac:dyDescent="0.35">
      <c r="A50" s="25"/>
      <c r="B50" s="82" t="s">
        <v>8</v>
      </c>
      <c r="C50" s="48">
        <v>0</v>
      </c>
      <c r="D50" s="65">
        <v>0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  <row r="51" spans="1:16" ht="33" customHeight="1" x14ac:dyDescent="0.35">
      <c r="A51" s="25"/>
      <c r="B51" s="84" t="s">
        <v>9</v>
      </c>
      <c r="C51" s="64">
        <v>4610000</v>
      </c>
      <c r="D51" s="65">
        <v>4580800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2" spans="1:16" ht="33" customHeight="1" x14ac:dyDescent="0.35">
      <c r="A52" s="27" t="s">
        <v>5</v>
      </c>
      <c r="B52" s="25"/>
      <c r="C52" s="17">
        <f>SUM(C48:C51)</f>
        <v>21047700</v>
      </c>
      <c r="D52" s="18">
        <f>SUM(D48:D51)</f>
        <v>20872715.449999999</v>
      </c>
      <c r="E52" s="12">
        <f>SUM(E48:E51)</f>
        <v>39664.199999999997</v>
      </c>
      <c r="F52" s="12">
        <f t="shared" ref="F52:K52" si="40">SUM(F48:F51)</f>
        <v>68167.199999999997</v>
      </c>
      <c r="G52" s="12">
        <f t="shared" si="40"/>
        <v>137908.10999999999</v>
      </c>
      <c r="H52" s="12">
        <f t="shared" si="40"/>
        <v>155012.10999999999</v>
      </c>
      <c r="I52" s="97">
        <f t="shared" si="40"/>
        <v>324021.78999999998</v>
      </c>
      <c r="J52" s="97">
        <f t="shared" si="40"/>
        <v>361385.44</v>
      </c>
      <c r="K52" s="97">
        <f t="shared" si="40"/>
        <v>0</v>
      </c>
      <c r="L52" s="97">
        <f t="shared" ref="L52" si="41">SUM(L48:L51)</f>
        <v>0</v>
      </c>
      <c r="M52" s="97">
        <f t="shared" ref="M52:N52" si="42">SUM(M48:M51)</f>
        <v>0</v>
      </c>
      <c r="N52" s="97">
        <f t="shared" si="42"/>
        <v>0</v>
      </c>
      <c r="O52" s="97">
        <f t="shared" ref="O52:P52" si="43">SUM(O48:O51)</f>
        <v>0</v>
      </c>
      <c r="P52" s="97">
        <f t="shared" si="43"/>
        <v>0</v>
      </c>
    </row>
    <row r="53" spans="1:16" ht="33" customHeight="1" x14ac:dyDescent="0.35">
      <c r="A53" s="9" t="s">
        <v>6</v>
      </c>
      <c r="B53" s="85"/>
      <c r="C53" s="86"/>
      <c r="D53" s="87"/>
      <c r="E53" s="88">
        <f t="shared" ref="E53:I53" si="44">E52/$C52</f>
        <v>1.884490942003164E-3</v>
      </c>
      <c r="F53" s="88">
        <f t="shared" si="44"/>
        <v>3.2387006656309238E-3</v>
      </c>
      <c r="G53" s="89">
        <f t="shared" si="44"/>
        <v>6.5521700708390937E-3</v>
      </c>
      <c r="H53" s="89">
        <f t="shared" si="44"/>
        <v>7.3648004295006099E-3</v>
      </c>
      <c r="I53" s="88">
        <f t="shared" si="44"/>
        <v>1.5394641219705714E-2</v>
      </c>
      <c r="J53" s="88">
        <f>J52/C52</f>
        <v>1.7169830432778879E-2</v>
      </c>
      <c r="K53" s="68">
        <f>K52/$C52</f>
        <v>0</v>
      </c>
      <c r="L53" s="68">
        <f t="shared" ref="L53:M53" si="45">L52/$C52</f>
        <v>0</v>
      </c>
      <c r="M53" s="68">
        <f t="shared" si="45"/>
        <v>0</v>
      </c>
      <c r="N53" s="68">
        <f>N52/$D52</f>
        <v>0</v>
      </c>
      <c r="O53" s="68">
        <f>O52/$D52</f>
        <v>0</v>
      </c>
      <c r="P53" s="68">
        <f t="shared" ref="P53" si="46">P52/$D52</f>
        <v>0</v>
      </c>
    </row>
    <row r="54" spans="1:16" ht="33" customHeight="1" x14ac:dyDescent="0.35">
      <c r="A54" s="14" t="s">
        <v>25</v>
      </c>
      <c r="B54" s="8" t="s">
        <v>4</v>
      </c>
      <c r="C54" s="64">
        <f>28310700-6156000</f>
        <v>22154700</v>
      </c>
      <c r="D54" s="64">
        <f>28310700-6156000-1100000-249700-86700-1190000+835710.36</f>
        <v>20364010.359999999</v>
      </c>
      <c r="E54" s="49">
        <v>8100</v>
      </c>
      <c r="F54" s="49">
        <v>265466</v>
      </c>
      <c r="G54" s="49">
        <v>661663.1399999999</v>
      </c>
      <c r="H54" s="49">
        <v>997726.82</v>
      </c>
      <c r="I54" s="49">
        <v>1667097.1</v>
      </c>
      <c r="J54" s="49">
        <v>4640521.84</v>
      </c>
      <c r="K54" s="49"/>
      <c r="L54" s="49"/>
      <c r="M54" s="49"/>
      <c r="N54" s="49"/>
      <c r="O54" s="49"/>
      <c r="P54" s="49"/>
    </row>
    <row r="55" spans="1:16" ht="33" customHeight="1" x14ac:dyDescent="0.35">
      <c r="A55" s="13"/>
      <c r="B55" s="15" t="s">
        <v>7</v>
      </c>
      <c r="C55" s="64">
        <v>48526600</v>
      </c>
      <c r="D55" s="69">
        <v>45628838</v>
      </c>
      <c r="E55" s="57"/>
      <c r="F55" s="57"/>
      <c r="G55" s="81"/>
      <c r="H55" s="81"/>
      <c r="I55" s="95"/>
      <c r="J55" s="95">
        <v>201100</v>
      </c>
      <c r="K55" s="95"/>
      <c r="L55" s="95"/>
      <c r="M55" s="95"/>
      <c r="N55" s="95"/>
      <c r="O55" s="95"/>
      <c r="P55" s="95"/>
    </row>
    <row r="56" spans="1:16" ht="33" customHeight="1" x14ac:dyDescent="0.35">
      <c r="A56" s="13"/>
      <c r="B56" s="8" t="s">
        <v>8</v>
      </c>
      <c r="C56" s="58">
        <v>0</v>
      </c>
      <c r="D56" s="58">
        <v>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 ht="33" customHeight="1" x14ac:dyDescent="0.35">
      <c r="A57" s="13"/>
      <c r="B57" s="16" t="s">
        <v>9</v>
      </c>
      <c r="C57" s="64">
        <v>0</v>
      </c>
      <c r="D57" s="65">
        <v>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ht="33" customHeight="1" x14ac:dyDescent="0.35">
      <c r="A58" s="27" t="s">
        <v>5</v>
      </c>
      <c r="B58" s="13"/>
      <c r="C58" s="17">
        <f>SUM(C54:C57)</f>
        <v>70681300</v>
      </c>
      <c r="D58" s="18">
        <f>SUM(D54:D57)</f>
        <v>65992848.359999999</v>
      </c>
      <c r="E58" s="12">
        <f>SUM(E54:E57)</f>
        <v>8100</v>
      </c>
      <c r="F58" s="12">
        <f t="shared" ref="F58:K58" si="47">SUM(F54:F57)</f>
        <v>265466</v>
      </c>
      <c r="G58" s="12">
        <f t="shared" si="47"/>
        <v>661663.1399999999</v>
      </c>
      <c r="H58" s="12">
        <f t="shared" si="47"/>
        <v>997726.82</v>
      </c>
      <c r="I58" s="97">
        <f t="shared" si="47"/>
        <v>1667097.1</v>
      </c>
      <c r="J58" s="97">
        <f t="shared" si="47"/>
        <v>4841621.84</v>
      </c>
      <c r="K58" s="97">
        <f t="shared" si="47"/>
        <v>0</v>
      </c>
      <c r="L58" s="97">
        <f t="shared" ref="L58" si="48">SUM(L54:L57)</f>
        <v>0</v>
      </c>
      <c r="M58" s="97">
        <f t="shared" ref="M58:N58" si="49">SUM(M54:M57)</f>
        <v>0</v>
      </c>
      <c r="N58" s="97">
        <f t="shared" si="49"/>
        <v>0</v>
      </c>
      <c r="O58" s="97">
        <f t="shared" ref="O58:P58" si="50">SUM(O54:O57)</f>
        <v>0</v>
      </c>
      <c r="P58" s="97">
        <f t="shared" si="50"/>
        <v>0</v>
      </c>
    </row>
    <row r="59" spans="1:16" ht="33" customHeight="1" x14ac:dyDescent="0.35">
      <c r="A59" s="9" t="s">
        <v>6</v>
      </c>
      <c r="B59" s="28"/>
      <c r="C59" s="70"/>
      <c r="D59" s="67"/>
      <c r="E59" s="68">
        <f t="shared" ref="E59:I59" si="51">E58/$C58</f>
        <v>1.1459891088590617E-4</v>
      </c>
      <c r="F59" s="68">
        <f t="shared" si="51"/>
        <v>3.7558166021281441E-3</v>
      </c>
      <c r="G59" s="68">
        <f t="shared" si="51"/>
        <v>9.3612191626356606E-3</v>
      </c>
      <c r="H59" s="54">
        <f t="shared" si="51"/>
        <v>1.4115852707859079E-2</v>
      </c>
      <c r="I59" s="68">
        <f t="shared" si="51"/>
        <v>2.3586112592722547E-2</v>
      </c>
      <c r="J59" s="68">
        <f>J58/C58</f>
        <v>6.8499332072273711E-2</v>
      </c>
      <c r="K59" s="68">
        <f>K58/$C58</f>
        <v>0</v>
      </c>
      <c r="L59" s="68">
        <f t="shared" ref="L59:M59" si="52">L58/$C58</f>
        <v>0</v>
      </c>
      <c r="M59" s="68">
        <f t="shared" si="52"/>
        <v>0</v>
      </c>
      <c r="N59" s="68">
        <f>N58/$D58</f>
        <v>0</v>
      </c>
      <c r="O59" s="68">
        <f>O58/$D58</f>
        <v>0</v>
      </c>
      <c r="P59" s="68">
        <f t="shared" ref="P59" si="53">P58/$D58</f>
        <v>0</v>
      </c>
    </row>
    <row r="60" spans="1:16" ht="33" customHeight="1" x14ac:dyDescent="0.35">
      <c r="A60" s="90" t="s">
        <v>26</v>
      </c>
      <c r="B60" s="32" t="s">
        <v>4</v>
      </c>
      <c r="C60" s="71">
        <f>1331900-520000+291851.15</f>
        <v>1103751.1499999999</v>
      </c>
      <c r="D60" s="71">
        <f>1331900-520000+291851.15+291851.15</f>
        <v>1395602.2999999998</v>
      </c>
      <c r="E60" s="72"/>
      <c r="F60" s="72">
        <v>9666.67</v>
      </c>
      <c r="G60" s="75">
        <v>22065.61</v>
      </c>
      <c r="H60" s="49">
        <v>41971.22</v>
      </c>
      <c r="I60" s="49">
        <v>76346.19</v>
      </c>
      <c r="J60" s="49">
        <v>86417.04</v>
      </c>
      <c r="K60" s="49"/>
      <c r="L60" s="49"/>
      <c r="M60" s="49"/>
      <c r="N60" s="49"/>
      <c r="O60" s="49"/>
      <c r="P60" s="49"/>
    </row>
    <row r="61" spans="1:16" ht="33" customHeight="1" x14ac:dyDescent="0.35">
      <c r="A61" s="13"/>
      <c r="B61" s="15" t="s">
        <v>7</v>
      </c>
      <c r="C61" s="58">
        <v>62500</v>
      </c>
      <c r="D61" s="58">
        <v>59900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ht="33" customHeight="1" x14ac:dyDescent="0.35">
      <c r="A62" s="13"/>
      <c r="B62" s="8" t="s">
        <v>8</v>
      </c>
      <c r="C62" s="58">
        <v>0</v>
      </c>
      <c r="D62" s="58">
        <v>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ht="33" customHeight="1" x14ac:dyDescent="0.35">
      <c r="A63" s="28"/>
      <c r="B63" s="29" t="s">
        <v>9</v>
      </c>
      <c r="C63" s="55">
        <v>60046000</v>
      </c>
      <c r="D63" s="65">
        <v>60014433.170000002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ht="33" customHeight="1" x14ac:dyDescent="0.35">
      <c r="A64" s="30" t="s">
        <v>5</v>
      </c>
      <c r="B64" s="13"/>
      <c r="C64" s="18">
        <f>SUM(C60:C63)</f>
        <v>61212251.149999999</v>
      </c>
      <c r="D64" s="18">
        <f>SUM(D60:D63)</f>
        <v>61469935.469999999</v>
      </c>
      <c r="E64" s="12">
        <f>SUM(E60:E63)</f>
        <v>0</v>
      </c>
      <c r="F64" s="12">
        <f t="shared" ref="F64:K64" si="54">SUM(F60:F63)</f>
        <v>9666.67</v>
      </c>
      <c r="G64" s="12">
        <f t="shared" si="54"/>
        <v>22065.61</v>
      </c>
      <c r="H64" s="12">
        <f t="shared" si="54"/>
        <v>41971.22</v>
      </c>
      <c r="I64" s="97">
        <f t="shared" si="54"/>
        <v>76346.19</v>
      </c>
      <c r="J64" s="99">
        <f t="shared" si="54"/>
        <v>86417.04</v>
      </c>
      <c r="K64" s="99">
        <f t="shared" si="54"/>
        <v>0</v>
      </c>
      <c r="L64" s="99">
        <f t="shared" ref="L64" si="55">SUM(L60:L63)</f>
        <v>0</v>
      </c>
      <c r="M64" s="99">
        <f t="shared" ref="M64:N64" si="56">SUM(M60:M63)</f>
        <v>0</v>
      </c>
      <c r="N64" s="99">
        <f t="shared" si="56"/>
        <v>0</v>
      </c>
      <c r="O64" s="99">
        <f t="shared" ref="O64:P64" si="57">SUM(O60:O63)</f>
        <v>0</v>
      </c>
      <c r="P64" s="99">
        <f t="shared" si="57"/>
        <v>0</v>
      </c>
    </row>
    <row r="65" spans="1:16" ht="33" customHeight="1" x14ac:dyDescent="0.35">
      <c r="A65" s="9" t="s">
        <v>6</v>
      </c>
      <c r="B65" s="28"/>
      <c r="C65" s="70"/>
      <c r="D65" s="67"/>
      <c r="E65" s="68">
        <f t="shared" ref="E65:I65" si="58">E64/$C64</f>
        <v>0</v>
      </c>
      <c r="F65" s="74">
        <f t="shared" si="58"/>
        <v>1.5792051130927899E-4</v>
      </c>
      <c r="G65" s="68">
        <f t="shared" si="58"/>
        <v>3.6047702192700687E-4</v>
      </c>
      <c r="H65" s="68">
        <f t="shared" si="58"/>
        <v>6.8566699004664854E-4</v>
      </c>
      <c r="I65" s="68">
        <f t="shared" si="58"/>
        <v>1.2472370900543166E-3</v>
      </c>
      <c r="J65" s="68">
        <f>J64/C64</f>
        <v>1.4117605279413089E-3</v>
      </c>
      <c r="K65" s="68">
        <f>K64/$C64</f>
        <v>0</v>
      </c>
      <c r="L65" s="68">
        <f t="shared" ref="L65:M65" si="59">L64/$C64</f>
        <v>0</v>
      </c>
      <c r="M65" s="68">
        <f t="shared" si="59"/>
        <v>0</v>
      </c>
      <c r="N65" s="68">
        <f>N64/$D64</f>
        <v>0</v>
      </c>
      <c r="O65" s="68">
        <f>O64/$D64</f>
        <v>0</v>
      </c>
      <c r="P65" s="68">
        <f t="shared" ref="P65" si="60">P64/$D64</f>
        <v>0</v>
      </c>
    </row>
    <row r="66" spans="1:16" ht="33" customHeight="1" x14ac:dyDescent="0.35">
      <c r="A66" s="31" t="s">
        <v>27</v>
      </c>
      <c r="B66" s="32" t="s">
        <v>4</v>
      </c>
      <c r="C66" s="71">
        <f>3695100-1409600</f>
        <v>2285500</v>
      </c>
      <c r="D66" s="71">
        <v>2086400</v>
      </c>
      <c r="E66" s="72">
        <v>3798</v>
      </c>
      <c r="F66" s="72">
        <v>93782</v>
      </c>
      <c r="G66" s="72">
        <v>181116.33</v>
      </c>
      <c r="H66" s="57">
        <v>277242.43</v>
      </c>
      <c r="I66" s="57">
        <v>498186.68000000005</v>
      </c>
      <c r="J66" s="57">
        <v>675534.6</v>
      </c>
      <c r="K66" s="57"/>
      <c r="L66" s="57"/>
      <c r="M66" s="57"/>
      <c r="N66" s="57"/>
      <c r="O66" s="57"/>
      <c r="P66" s="57"/>
    </row>
    <row r="67" spans="1:16" ht="33" customHeight="1" x14ac:dyDescent="0.35">
      <c r="A67" s="13"/>
      <c r="B67" s="15" t="s">
        <v>7</v>
      </c>
      <c r="C67" s="55">
        <v>22251200</v>
      </c>
      <c r="D67" s="56">
        <v>17729610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1:16" ht="33" customHeight="1" x14ac:dyDescent="0.35">
      <c r="A68" s="13"/>
      <c r="B68" s="8" t="s">
        <v>8</v>
      </c>
      <c r="C68" s="55">
        <f>405000-76600</f>
        <v>328400</v>
      </c>
      <c r="D68" s="55">
        <v>328352.11</v>
      </c>
      <c r="E68" s="57"/>
      <c r="F68" s="57"/>
      <c r="G68" s="57"/>
      <c r="H68" s="57"/>
      <c r="I68" s="57"/>
      <c r="J68" s="57">
        <v>405000</v>
      </c>
      <c r="K68" s="57"/>
      <c r="L68" s="57"/>
      <c r="M68" s="57"/>
      <c r="N68" s="57"/>
      <c r="O68" s="57"/>
      <c r="P68" s="57"/>
    </row>
    <row r="69" spans="1:16" ht="33" customHeight="1" x14ac:dyDescent="0.35">
      <c r="A69" s="13"/>
      <c r="B69" s="16" t="s">
        <v>9</v>
      </c>
      <c r="C69" s="55">
        <v>0</v>
      </c>
      <c r="D69" s="65">
        <v>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1:16" ht="33" customHeight="1" x14ac:dyDescent="0.35">
      <c r="A70" s="27" t="s">
        <v>5</v>
      </c>
      <c r="B70" s="13"/>
      <c r="C70" s="17">
        <f>SUM(C66:C69)</f>
        <v>24865100</v>
      </c>
      <c r="D70" s="18">
        <f>SUM(D66:D69)</f>
        <v>20144362.109999999</v>
      </c>
      <c r="E70" s="12">
        <f>SUM(E66:E69)</f>
        <v>3798</v>
      </c>
      <c r="F70" s="12">
        <f t="shared" ref="F70:K70" si="61">SUM(F66:F69)</f>
        <v>93782</v>
      </c>
      <c r="G70" s="12">
        <f t="shared" si="61"/>
        <v>181116.33</v>
      </c>
      <c r="H70" s="12">
        <f t="shared" si="61"/>
        <v>277242.43</v>
      </c>
      <c r="I70" s="97">
        <f t="shared" si="61"/>
        <v>498186.68000000005</v>
      </c>
      <c r="J70" s="97">
        <f t="shared" si="61"/>
        <v>1080534.6000000001</v>
      </c>
      <c r="K70" s="97">
        <f t="shared" si="61"/>
        <v>0</v>
      </c>
      <c r="L70" s="97">
        <f t="shared" ref="L70" si="62">SUM(L66:L69)</f>
        <v>0</v>
      </c>
      <c r="M70" s="97">
        <f t="shared" ref="M70:N70" si="63">SUM(M66:M69)</f>
        <v>0</v>
      </c>
      <c r="N70" s="97">
        <f t="shared" si="63"/>
        <v>0</v>
      </c>
      <c r="O70" s="97">
        <f t="shared" ref="O70:P70" si="64">SUM(O66:O69)</f>
        <v>0</v>
      </c>
      <c r="P70" s="97">
        <f t="shared" si="64"/>
        <v>0</v>
      </c>
    </row>
    <row r="71" spans="1:16" ht="33" customHeight="1" x14ac:dyDescent="0.35">
      <c r="A71" s="9" t="s">
        <v>6</v>
      </c>
      <c r="B71" s="28"/>
      <c r="C71" s="70"/>
      <c r="D71" s="67"/>
      <c r="E71" s="68">
        <f t="shared" ref="E71:I71" si="65">E70/$C70</f>
        <v>1.5274420774499199E-4</v>
      </c>
      <c r="F71" s="68">
        <f t="shared" si="65"/>
        <v>3.7716317247869502E-3</v>
      </c>
      <c r="G71" s="68">
        <f t="shared" si="65"/>
        <v>7.2839574343155659E-3</v>
      </c>
      <c r="H71" s="68">
        <f t="shared" si="65"/>
        <v>1.1149861854567244E-2</v>
      </c>
      <c r="I71" s="68">
        <f t="shared" si="65"/>
        <v>2.0035579185283793E-2</v>
      </c>
      <c r="J71" s="68">
        <f>J70/C70</f>
        <v>4.3455871884689787E-2</v>
      </c>
      <c r="K71" s="68">
        <f>K70/$C70</f>
        <v>0</v>
      </c>
      <c r="L71" s="68">
        <f t="shared" ref="L71" si="66">L70/$C70</f>
        <v>0</v>
      </c>
      <c r="M71" s="68">
        <f t="shared" ref="M71" si="67">M70/$C70</f>
        <v>0</v>
      </c>
      <c r="N71" s="68">
        <f>N70/$D70</f>
        <v>0</v>
      </c>
      <c r="O71" s="68">
        <f>O70/$D70</f>
        <v>0</v>
      </c>
      <c r="P71" s="68">
        <f t="shared" ref="P71" si="68">P70/$D70</f>
        <v>0</v>
      </c>
    </row>
    <row r="72" spans="1:16" ht="33" customHeight="1" x14ac:dyDescent="0.35">
      <c r="A72" s="90" t="s">
        <v>28</v>
      </c>
      <c r="B72" s="32" t="s">
        <v>4</v>
      </c>
      <c r="C72" s="71">
        <f>591500-130500</f>
        <v>461000</v>
      </c>
      <c r="D72" s="71">
        <v>461000</v>
      </c>
      <c r="E72" s="79">
        <v>50</v>
      </c>
      <c r="F72" s="79">
        <v>36219.43</v>
      </c>
      <c r="G72" s="79">
        <v>72115.27</v>
      </c>
      <c r="H72" s="98">
        <v>116240.27</v>
      </c>
      <c r="I72" s="98">
        <v>151155.76999999999</v>
      </c>
      <c r="J72" s="98">
        <v>216709.37</v>
      </c>
      <c r="K72" s="98"/>
      <c r="L72" s="98"/>
      <c r="M72" s="98"/>
      <c r="N72" s="98"/>
      <c r="O72" s="98"/>
      <c r="P72" s="98"/>
    </row>
    <row r="73" spans="1:16" ht="33" customHeight="1" x14ac:dyDescent="0.35">
      <c r="A73" s="13"/>
      <c r="B73" s="15" t="s">
        <v>7</v>
      </c>
      <c r="C73" s="58">
        <v>0</v>
      </c>
      <c r="D73" s="58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1:16" ht="33" customHeight="1" x14ac:dyDescent="0.35">
      <c r="A74" s="13"/>
      <c r="B74" s="8" t="s">
        <v>8</v>
      </c>
      <c r="C74" s="58">
        <v>0</v>
      </c>
      <c r="D74" s="58">
        <v>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spans="1:16" ht="33" customHeight="1" x14ac:dyDescent="0.35">
      <c r="A75" s="13"/>
      <c r="B75" s="16" t="s">
        <v>9</v>
      </c>
      <c r="C75" s="58">
        <v>0</v>
      </c>
      <c r="D75" s="58">
        <v>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1:16" ht="33" customHeight="1" x14ac:dyDescent="0.35">
      <c r="A76" s="27" t="s">
        <v>5</v>
      </c>
      <c r="B76" s="13"/>
      <c r="C76" s="17">
        <f>SUM(C72:C75)</f>
        <v>461000</v>
      </c>
      <c r="D76" s="18">
        <f>SUM(D72:D75)</f>
        <v>461000</v>
      </c>
      <c r="E76" s="12">
        <f>SUM(E72:E75)</f>
        <v>50</v>
      </c>
      <c r="F76" s="12">
        <f t="shared" ref="F76:K76" si="69">SUM(F72:F75)</f>
        <v>36219.43</v>
      </c>
      <c r="G76" s="12">
        <f t="shared" si="69"/>
        <v>72115.27</v>
      </c>
      <c r="H76" s="12">
        <f t="shared" si="69"/>
        <v>116240.27</v>
      </c>
      <c r="I76" s="97">
        <f t="shared" si="69"/>
        <v>151155.76999999999</v>
      </c>
      <c r="J76" s="97">
        <f t="shared" si="69"/>
        <v>216709.37</v>
      </c>
      <c r="K76" s="97">
        <f t="shared" si="69"/>
        <v>0</v>
      </c>
      <c r="L76" s="97">
        <f t="shared" ref="L76" si="70">SUM(L72:L75)</f>
        <v>0</v>
      </c>
      <c r="M76" s="97">
        <f t="shared" ref="M76:N76" si="71">SUM(M72:M75)</f>
        <v>0</v>
      </c>
      <c r="N76" s="97">
        <f t="shared" si="71"/>
        <v>0</v>
      </c>
      <c r="O76" s="97">
        <f t="shared" ref="O76:P76" si="72">SUM(O72:O75)</f>
        <v>0</v>
      </c>
      <c r="P76" s="97">
        <f t="shared" si="72"/>
        <v>0</v>
      </c>
    </row>
    <row r="77" spans="1:16" ht="33" customHeight="1" x14ac:dyDescent="0.35">
      <c r="A77" s="9" t="s">
        <v>6</v>
      </c>
      <c r="B77" s="13"/>
      <c r="C77" s="52"/>
      <c r="D77" s="53"/>
      <c r="E77" s="54">
        <f t="shared" ref="E77:I77" si="73">E76/$C76</f>
        <v>1.0845986984815618E-4</v>
      </c>
      <c r="F77" s="54">
        <f t="shared" si="73"/>
        <v>7.8567093275488067E-2</v>
      </c>
      <c r="G77" s="54">
        <f t="shared" si="73"/>
        <v>0.15643225596529284</v>
      </c>
      <c r="H77" s="54">
        <f t="shared" si="73"/>
        <v>0.25214809110629066</v>
      </c>
      <c r="I77" s="68">
        <f t="shared" si="73"/>
        <v>0.32788670281995658</v>
      </c>
      <c r="J77" s="68">
        <f>J76/C76</f>
        <v>0.47008540130151844</v>
      </c>
      <c r="K77" s="68">
        <f>K76/$C76</f>
        <v>0</v>
      </c>
      <c r="L77" s="68">
        <f t="shared" ref="L77" si="74">L76/$C76</f>
        <v>0</v>
      </c>
      <c r="M77" s="68">
        <f t="shared" ref="M77" si="75">M76/$C76</f>
        <v>0</v>
      </c>
      <c r="N77" s="68">
        <f t="shared" ref="N77" si="76">N76/$C76</f>
        <v>0</v>
      </c>
      <c r="O77" s="68">
        <f>O76/$D76</f>
        <v>0</v>
      </c>
      <c r="P77" s="68">
        <f t="shared" ref="P77" si="77">P76/$D76</f>
        <v>0</v>
      </c>
    </row>
    <row r="78" spans="1:16" ht="33" customHeight="1" x14ac:dyDescent="0.35">
      <c r="A78" s="14" t="s">
        <v>29</v>
      </c>
      <c r="B78" s="8" t="s">
        <v>4</v>
      </c>
      <c r="C78" s="55">
        <f>249100-10200</f>
        <v>238900</v>
      </c>
      <c r="D78" s="55">
        <v>238900</v>
      </c>
      <c r="E78" s="57"/>
      <c r="F78" s="57">
        <v>30622</v>
      </c>
      <c r="G78" s="57">
        <v>45622</v>
      </c>
      <c r="H78" s="57">
        <v>60622</v>
      </c>
      <c r="I78" s="57">
        <v>75622</v>
      </c>
      <c r="J78" s="57">
        <v>89122</v>
      </c>
      <c r="K78" s="57"/>
      <c r="L78" s="57"/>
      <c r="M78" s="57"/>
      <c r="N78" s="57"/>
      <c r="O78" s="57"/>
      <c r="P78" s="57"/>
    </row>
    <row r="79" spans="1:16" ht="33" customHeight="1" x14ac:dyDescent="0.35">
      <c r="A79" s="13"/>
      <c r="B79" s="15" t="s">
        <v>7</v>
      </c>
      <c r="C79" s="58">
        <v>0</v>
      </c>
      <c r="D79" s="58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16" ht="33" customHeight="1" x14ac:dyDescent="0.35">
      <c r="A80" s="13"/>
      <c r="B80" s="8" t="s">
        <v>8</v>
      </c>
      <c r="C80" s="58">
        <v>0</v>
      </c>
      <c r="D80" s="58">
        <v>0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1:16" ht="33" customHeight="1" x14ac:dyDescent="0.35">
      <c r="A81" s="13"/>
      <c r="B81" s="16" t="s">
        <v>9</v>
      </c>
      <c r="C81" s="58">
        <v>0</v>
      </c>
      <c r="D81" s="58">
        <v>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spans="1:16" ht="33" customHeight="1" x14ac:dyDescent="0.35">
      <c r="A82" s="27" t="s">
        <v>5</v>
      </c>
      <c r="B82" s="13"/>
      <c r="C82" s="17">
        <f>SUM(C78:C81)</f>
        <v>238900</v>
      </c>
      <c r="D82" s="18">
        <f>SUM(D78:D81)</f>
        <v>238900</v>
      </c>
      <c r="E82" s="12">
        <f>SUM(E78:E81)</f>
        <v>0</v>
      </c>
      <c r="F82" s="12">
        <f t="shared" ref="F82:K82" si="78">SUM(F78:F81)</f>
        <v>30622</v>
      </c>
      <c r="G82" s="12">
        <f t="shared" si="78"/>
        <v>45622</v>
      </c>
      <c r="H82" s="12">
        <f t="shared" si="78"/>
        <v>60622</v>
      </c>
      <c r="I82" s="97">
        <f t="shared" si="78"/>
        <v>75622</v>
      </c>
      <c r="J82" s="97">
        <f>SUM(J78:J81)</f>
        <v>89122</v>
      </c>
      <c r="K82" s="97">
        <f t="shared" si="78"/>
        <v>0</v>
      </c>
      <c r="L82" s="97">
        <f t="shared" ref="L82" si="79">SUM(L78:L81)</f>
        <v>0</v>
      </c>
      <c r="M82" s="97">
        <f t="shared" ref="M82:N82" si="80">SUM(M78:M81)</f>
        <v>0</v>
      </c>
      <c r="N82" s="97">
        <f t="shared" si="80"/>
        <v>0</v>
      </c>
      <c r="O82" s="97">
        <f t="shared" ref="O82:P82" si="81">SUM(O78:O81)</f>
        <v>0</v>
      </c>
      <c r="P82" s="97">
        <f t="shared" si="81"/>
        <v>0</v>
      </c>
    </row>
    <row r="83" spans="1:16" ht="33" customHeight="1" x14ac:dyDescent="0.35">
      <c r="A83" s="9" t="s">
        <v>6</v>
      </c>
      <c r="B83" s="13"/>
      <c r="C83" s="52"/>
      <c r="D83" s="53"/>
      <c r="E83" s="54">
        <f t="shared" ref="E83:I83" si="82">E82/$C82</f>
        <v>0</v>
      </c>
      <c r="F83" s="54">
        <f t="shared" si="82"/>
        <v>0.12817915445793218</v>
      </c>
      <c r="G83" s="54">
        <f t="shared" si="82"/>
        <v>0.19096693177061533</v>
      </c>
      <c r="H83" s="54">
        <f t="shared" si="82"/>
        <v>0.25375470908329845</v>
      </c>
      <c r="I83" s="68">
        <f t="shared" si="82"/>
        <v>0.31654248639598159</v>
      </c>
      <c r="J83" s="68">
        <f>J82/C82</f>
        <v>0.3730514859773964</v>
      </c>
      <c r="K83" s="68">
        <f>K82/$C82</f>
        <v>0</v>
      </c>
      <c r="L83" s="68">
        <f t="shared" ref="L83" si="83">L82/$C82</f>
        <v>0</v>
      </c>
      <c r="M83" s="68">
        <f t="shared" ref="M83" si="84">M82/$C82</f>
        <v>0</v>
      </c>
      <c r="N83" s="68">
        <f t="shared" ref="N83" si="85">N82/$C82</f>
        <v>0</v>
      </c>
      <c r="O83" s="68">
        <f>O82/$D82</f>
        <v>0</v>
      </c>
      <c r="P83" s="68">
        <f t="shared" ref="P83" si="86">P82/$D82</f>
        <v>0</v>
      </c>
    </row>
    <row r="84" spans="1:16" ht="33" customHeight="1" x14ac:dyDescent="0.35">
      <c r="A84" s="31" t="s">
        <v>30</v>
      </c>
      <c r="B84" s="8" t="s">
        <v>4</v>
      </c>
      <c r="C84" s="55">
        <v>30700</v>
      </c>
      <c r="D84" s="55">
        <v>176908.35</v>
      </c>
      <c r="E84" s="57"/>
      <c r="F84" s="57">
        <v>24956.35</v>
      </c>
      <c r="G84" s="57">
        <v>41192.75</v>
      </c>
      <c r="H84" s="57">
        <v>56341.15</v>
      </c>
      <c r="I84" s="57">
        <v>71733.55</v>
      </c>
      <c r="J84" s="57">
        <v>85408.35</v>
      </c>
      <c r="K84" s="57"/>
      <c r="L84" s="57"/>
      <c r="M84" s="57"/>
      <c r="N84" s="57"/>
      <c r="O84" s="57"/>
      <c r="P84" s="57"/>
    </row>
    <row r="85" spans="1:16" ht="33" customHeight="1" x14ac:dyDescent="0.35">
      <c r="A85" s="13"/>
      <c r="B85" s="15" t="s">
        <v>7</v>
      </c>
      <c r="C85" s="58">
        <v>0</v>
      </c>
      <c r="D85" s="58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16" ht="33" customHeight="1" x14ac:dyDescent="0.35">
      <c r="A86" s="13"/>
      <c r="B86" s="8" t="s">
        <v>8</v>
      </c>
      <c r="C86" s="58">
        <v>0</v>
      </c>
      <c r="D86" s="58">
        <v>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1:16" ht="33" customHeight="1" x14ac:dyDescent="0.35">
      <c r="A87" s="13"/>
      <c r="B87" s="16" t="s">
        <v>9</v>
      </c>
      <c r="C87" s="58">
        <v>0</v>
      </c>
      <c r="D87" s="58">
        <v>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1:16" ht="33" customHeight="1" x14ac:dyDescent="0.35">
      <c r="A88" s="27" t="s">
        <v>5</v>
      </c>
      <c r="B88" s="13"/>
      <c r="C88" s="17">
        <f>SUM(C84:C87)</f>
        <v>30700</v>
      </c>
      <c r="D88" s="18">
        <f>SUM(D84:D87)</f>
        <v>176908.35</v>
      </c>
      <c r="E88" s="12">
        <f>SUM(E84:E87)</f>
        <v>0</v>
      </c>
      <c r="F88" s="12">
        <f t="shared" ref="F88:K88" si="87">SUM(F84:F87)</f>
        <v>24956.35</v>
      </c>
      <c r="G88" s="12">
        <f t="shared" si="87"/>
        <v>41192.75</v>
      </c>
      <c r="H88" s="12">
        <f t="shared" si="87"/>
        <v>56341.15</v>
      </c>
      <c r="I88" s="97">
        <f t="shared" si="87"/>
        <v>71733.55</v>
      </c>
      <c r="J88" s="97">
        <f t="shared" si="87"/>
        <v>85408.35</v>
      </c>
      <c r="K88" s="97">
        <f t="shared" si="87"/>
        <v>0</v>
      </c>
      <c r="L88" s="97">
        <f t="shared" ref="L88" si="88">SUM(L84:L87)</f>
        <v>0</v>
      </c>
      <c r="M88" s="97">
        <f t="shared" ref="M88:N88" si="89">SUM(M84:M87)</f>
        <v>0</v>
      </c>
      <c r="N88" s="97">
        <f t="shared" si="89"/>
        <v>0</v>
      </c>
      <c r="O88" s="97">
        <f t="shared" ref="O88:P88" si="90">SUM(O84:O87)</f>
        <v>0</v>
      </c>
      <c r="P88" s="97">
        <f t="shared" si="90"/>
        <v>0</v>
      </c>
    </row>
    <row r="89" spans="1:16" ht="33" customHeight="1" x14ac:dyDescent="0.35">
      <c r="A89" s="9" t="s">
        <v>6</v>
      </c>
      <c r="B89" s="28"/>
      <c r="C89" s="70"/>
      <c r="D89" s="67"/>
      <c r="E89" s="77">
        <f t="shared" ref="E89:I89" si="91">E88/$C88</f>
        <v>0</v>
      </c>
      <c r="F89" s="77">
        <f t="shared" si="91"/>
        <v>0.81291042345276865</v>
      </c>
      <c r="G89" s="68">
        <f t="shared" si="91"/>
        <v>1.3417833876221499</v>
      </c>
      <c r="H89" s="54">
        <f t="shared" si="91"/>
        <v>1.8352166123778502</v>
      </c>
      <c r="I89" s="68">
        <f t="shared" si="91"/>
        <v>2.3365977198697068</v>
      </c>
      <c r="J89" s="68">
        <f>J88/C88</f>
        <v>2.7820309446254075</v>
      </c>
      <c r="K89" s="68">
        <f>K88/$C88</f>
        <v>0</v>
      </c>
      <c r="L89" s="68">
        <f t="shared" ref="L89" si="92">L88/$C88</f>
        <v>0</v>
      </c>
      <c r="M89" s="68">
        <f t="shared" ref="M89" si="93">M88/$C88</f>
        <v>0</v>
      </c>
      <c r="N89" s="68">
        <f>N88/$D88</f>
        <v>0</v>
      </c>
      <c r="O89" s="68">
        <f>O88/$D88</f>
        <v>0</v>
      </c>
      <c r="P89" s="68">
        <f t="shared" ref="P89" si="94">P88/$D88</f>
        <v>0</v>
      </c>
    </row>
    <row r="90" spans="1:16" ht="33" customHeight="1" x14ac:dyDescent="0.35">
      <c r="A90" s="31" t="s">
        <v>10</v>
      </c>
      <c r="B90" s="32" t="s">
        <v>4</v>
      </c>
      <c r="C90" s="71">
        <f>2081700-447900</f>
        <v>1633800</v>
      </c>
      <c r="D90" s="71">
        <f>2081700-447900-145911.55</f>
        <v>1487888.45</v>
      </c>
      <c r="E90" s="72"/>
      <c r="F90" s="72">
        <v>12664</v>
      </c>
      <c r="G90" s="72">
        <v>23505.99</v>
      </c>
      <c r="H90" s="57">
        <v>407908.59</v>
      </c>
      <c r="I90" s="57">
        <v>508337.59</v>
      </c>
      <c r="J90" s="57">
        <v>612353.31999999995</v>
      </c>
      <c r="K90" s="57"/>
      <c r="L90" s="57"/>
      <c r="M90" s="57"/>
      <c r="N90" s="57"/>
      <c r="O90" s="57"/>
      <c r="P90" s="57"/>
    </row>
    <row r="91" spans="1:16" ht="33" customHeight="1" x14ac:dyDescent="0.35">
      <c r="A91" s="13"/>
      <c r="B91" s="15" t="s">
        <v>7</v>
      </c>
      <c r="C91" s="58">
        <v>0</v>
      </c>
      <c r="D91" s="58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16" ht="33" customHeight="1" x14ac:dyDescent="0.35">
      <c r="A92" s="13"/>
      <c r="B92" s="8" t="s">
        <v>8</v>
      </c>
      <c r="C92" s="58">
        <v>0</v>
      </c>
      <c r="D92" s="58">
        <v>0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1:16" ht="33" customHeight="1" x14ac:dyDescent="0.35">
      <c r="A93" s="13"/>
      <c r="B93" s="16" t="s">
        <v>9</v>
      </c>
      <c r="C93" s="58">
        <v>0</v>
      </c>
      <c r="D93" s="58">
        <v>0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1:16" ht="33" customHeight="1" x14ac:dyDescent="0.35">
      <c r="A94" s="27" t="s">
        <v>5</v>
      </c>
      <c r="B94" s="13"/>
      <c r="C94" s="17">
        <f>SUM(C90:C93)</f>
        <v>1633800</v>
      </c>
      <c r="D94" s="17">
        <f>SUM(D90:D93)</f>
        <v>1487888.45</v>
      </c>
      <c r="E94" s="12">
        <f>SUM(E90:E93)</f>
        <v>0</v>
      </c>
      <c r="F94" s="12">
        <f t="shared" ref="F94:K94" si="95">SUM(F90:F93)</f>
        <v>12664</v>
      </c>
      <c r="G94" s="12">
        <f t="shared" si="95"/>
        <v>23505.99</v>
      </c>
      <c r="H94" s="12">
        <f t="shared" si="95"/>
        <v>407908.59</v>
      </c>
      <c r="I94" s="97">
        <f t="shared" si="95"/>
        <v>508337.59</v>
      </c>
      <c r="J94" s="97">
        <f t="shared" si="95"/>
        <v>612353.31999999995</v>
      </c>
      <c r="K94" s="97">
        <f t="shared" si="95"/>
        <v>0</v>
      </c>
      <c r="L94" s="97">
        <f t="shared" ref="L94" si="96">SUM(L90:L93)</f>
        <v>0</v>
      </c>
      <c r="M94" s="97">
        <f t="shared" ref="M94:N94" si="97">SUM(M90:M93)</f>
        <v>0</v>
      </c>
      <c r="N94" s="97">
        <f t="shared" si="97"/>
        <v>0</v>
      </c>
      <c r="O94" s="97">
        <f t="shared" ref="O94:P94" si="98">SUM(O90:O93)</f>
        <v>0</v>
      </c>
      <c r="P94" s="97">
        <f t="shared" si="98"/>
        <v>0</v>
      </c>
    </row>
    <row r="95" spans="1:16" ht="33" customHeight="1" x14ac:dyDescent="0.35">
      <c r="A95" s="9" t="s">
        <v>6</v>
      </c>
      <c r="B95" s="28"/>
      <c r="C95" s="70"/>
      <c r="D95" s="67"/>
      <c r="E95" s="68">
        <f t="shared" ref="E95:I95" si="99">E94/$C94</f>
        <v>0</v>
      </c>
      <c r="F95" s="68">
        <f t="shared" si="99"/>
        <v>7.7512547435426614E-3</v>
      </c>
      <c r="G95" s="68">
        <f t="shared" si="99"/>
        <v>1.4387311788468601E-2</v>
      </c>
      <c r="H95" s="68">
        <f t="shared" si="99"/>
        <v>0.24966861917003308</v>
      </c>
      <c r="I95" s="96">
        <f t="shared" si="99"/>
        <v>0.31113819928999881</v>
      </c>
      <c r="J95" s="96">
        <f>J94/C94</f>
        <v>0.37480310931570571</v>
      </c>
      <c r="K95" s="68">
        <f>K94/$C94</f>
        <v>0</v>
      </c>
      <c r="L95" s="68">
        <f t="shared" ref="L95" si="100">L94/$C94</f>
        <v>0</v>
      </c>
      <c r="M95" s="68">
        <f t="shared" ref="M95" si="101">M94/$C94</f>
        <v>0</v>
      </c>
      <c r="N95" s="68">
        <f t="shared" ref="N95" si="102">N94/$C94</f>
        <v>0</v>
      </c>
      <c r="O95" s="68">
        <f>O94/$D94</f>
        <v>0</v>
      </c>
      <c r="P95" s="68">
        <f t="shared" ref="P95" si="103">P94/$D94</f>
        <v>0</v>
      </c>
    </row>
    <row r="96" spans="1:16" ht="33" customHeight="1" x14ac:dyDescent="0.35">
      <c r="A96" s="33" t="s">
        <v>11</v>
      </c>
      <c r="B96" s="13"/>
      <c r="C96" s="34">
        <f t="shared" ref="C96:P96" si="104">C16+C22+C28+C34+C40+C46+C52+C58+C64+C70+C76+C82+C88+C94+C10</f>
        <v>938358246.52999997</v>
      </c>
      <c r="D96" s="34">
        <f t="shared" si="104"/>
        <v>916888228.94000006</v>
      </c>
      <c r="E96" s="35">
        <f t="shared" si="104"/>
        <v>27444531.749999996</v>
      </c>
      <c r="F96" s="35">
        <f t="shared" si="104"/>
        <v>67511452.370000005</v>
      </c>
      <c r="G96" s="35">
        <f t="shared" si="104"/>
        <v>99490632.449999988</v>
      </c>
      <c r="H96" s="35">
        <f t="shared" si="104"/>
        <v>132036831.99999999</v>
      </c>
      <c r="I96" s="35">
        <f t="shared" si="104"/>
        <v>165144747.06999999</v>
      </c>
      <c r="J96" s="35">
        <f t="shared" si="104"/>
        <v>229705950.75999999</v>
      </c>
      <c r="K96" s="35">
        <f t="shared" si="104"/>
        <v>0</v>
      </c>
      <c r="L96" s="35">
        <f t="shared" si="104"/>
        <v>0</v>
      </c>
      <c r="M96" s="35">
        <f t="shared" si="104"/>
        <v>0</v>
      </c>
      <c r="N96" s="35">
        <f t="shared" si="104"/>
        <v>0</v>
      </c>
      <c r="O96" s="35">
        <f t="shared" si="104"/>
        <v>0</v>
      </c>
      <c r="P96" s="35">
        <f t="shared" si="104"/>
        <v>0</v>
      </c>
    </row>
    <row r="97" spans="1:16" ht="53.25" customHeight="1" x14ac:dyDescent="0.35">
      <c r="A97" s="36" t="s">
        <v>12</v>
      </c>
      <c r="B97" s="13"/>
      <c r="C97" s="52"/>
      <c r="D97" s="105"/>
      <c r="E97" s="54">
        <f>(E96/C96)</f>
        <v>2.9247392295520872E-2</v>
      </c>
      <c r="F97" s="54">
        <f>F96/C96</f>
        <v>7.1946351640915229E-2</v>
      </c>
      <c r="G97" s="54">
        <f>G96/C96</f>
        <v>0.10602627814900245</v>
      </c>
      <c r="H97" s="54">
        <f>H96/C96</f>
        <v>0.1407104722404959</v>
      </c>
      <c r="I97" s="54">
        <f>I96/C96</f>
        <v>0.17599328154326632</v>
      </c>
      <c r="J97" s="54">
        <f t="shared" ref="J97:O97" si="105">J96/$C$96</f>
        <v>0.24479557952353556</v>
      </c>
      <c r="K97" s="54">
        <f>K96/$C$96</f>
        <v>0</v>
      </c>
      <c r="L97" s="54">
        <f t="shared" si="105"/>
        <v>0</v>
      </c>
      <c r="M97" s="54">
        <f t="shared" si="105"/>
        <v>0</v>
      </c>
      <c r="N97" s="54">
        <f t="shared" si="105"/>
        <v>0</v>
      </c>
      <c r="O97" s="54">
        <f t="shared" si="105"/>
        <v>0</v>
      </c>
      <c r="P97" s="54">
        <f>P96/$C$96</f>
        <v>0</v>
      </c>
    </row>
    <row r="98" spans="1:16" ht="33" customHeight="1" x14ac:dyDescent="0.35">
      <c r="A98" s="37" t="s">
        <v>13</v>
      </c>
      <c r="B98" s="38"/>
      <c r="C98" s="47">
        <f t="shared" ref="C98:P98" si="106">C6</f>
        <v>321842200</v>
      </c>
      <c r="D98" s="39">
        <f t="shared" si="106"/>
        <v>0</v>
      </c>
      <c r="E98" s="40">
        <f t="shared" si="106"/>
        <v>25224049.239999998</v>
      </c>
      <c r="F98" s="40">
        <f t="shared" si="106"/>
        <v>52510426.490000002</v>
      </c>
      <c r="G98" s="40">
        <f t="shared" si="106"/>
        <v>78999504.599999994</v>
      </c>
      <c r="H98" s="40">
        <f t="shared" si="106"/>
        <v>105139319.27</v>
      </c>
      <c r="I98" s="40">
        <f t="shared" si="106"/>
        <v>131329970.12</v>
      </c>
      <c r="J98" s="40">
        <f t="shared" si="106"/>
        <v>157373760.91999999</v>
      </c>
      <c r="K98" s="40">
        <f t="shared" si="106"/>
        <v>0</v>
      </c>
      <c r="L98" s="40">
        <f t="shared" si="106"/>
        <v>0</v>
      </c>
      <c r="M98" s="40">
        <f t="shared" si="106"/>
        <v>0</v>
      </c>
      <c r="N98" s="40">
        <f t="shared" si="106"/>
        <v>0</v>
      </c>
      <c r="O98" s="40">
        <f t="shared" si="106"/>
        <v>0</v>
      </c>
      <c r="P98" s="40">
        <f t="shared" si="106"/>
        <v>0</v>
      </c>
    </row>
    <row r="99" spans="1:16" ht="33" customHeight="1" x14ac:dyDescent="0.35">
      <c r="A99" s="37" t="s">
        <v>14</v>
      </c>
      <c r="B99" s="41"/>
      <c r="C99" s="56">
        <f>C7+C12+C18+C24+C30+C36+C42+C48+C54+C60+C66+C72+C78+C84+C90+C9</f>
        <v>145392342.80000001</v>
      </c>
      <c r="D99" s="42">
        <f>D12+D18+D24+D30+D36+D42+D48+D54+D60+D66+D72+D78+D84+D90+D7+D8</f>
        <v>128571853.55</v>
      </c>
      <c r="E99" s="40">
        <f>E7+E12+E18+E24+E30+E42+E48+E54+E60+E36+E66+E72+E78+E84+E90+E8</f>
        <v>2220482.5099999998</v>
      </c>
      <c r="F99" s="40">
        <f>F7+F12+F18+F24+F30+F42+F48+F54+F60+F36+F66+F72+F78+F84+F90+F8</f>
        <v>5401025.8800000008</v>
      </c>
      <c r="G99" s="40">
        <f>G7+G12+G18+G24+G30+G42+G48+G54+G60+G36+G66+G72+G78+G84+G90+G8</f>
        <v>10891127.85</v>
      </c>
      <c r="H99" s="40">
        <f>H7+H8+H12+H18+H24+H30+H36+H42+H48+H54+H60+H66+H72+H78+H84+H90</f>
        <v>17297512.73</v>
      </c>
      <c r="I99" s="40">
        <f t="shared" ref="I99:P99" si="107">I7+I12+I18+I24+I30+I42+I48+I54+I60+I36+I66+I72+I78+I84+I90+I8</f>
        <v>24214776.950000003</v>
      </c>
      <c r="J99" s="40">
        <f t="shared" si="107"/>
        <v>45524261.440000005</v>
      </c>
      <c r="K99" s="40">
        <f t="shared" si="107"/>
        <v>0</v>
      </c>
      <c r="L99" s="40">
        <f t="shared" si="107"/>
        <v>0</v>
      </c>
      <c r="M99" s="40">
        <f t="shared" si="107"/>
        <v>0</v>
      </c>
      <c r="N99" s="40">
        <f t="shared" si="107"/>
        <v>0</v>
      </c>
      <c r="O99" s="40">
        <f t="shared" si="107"/>
        <v>0</v>
      </c>
      <c r="P99" s="40">
        <f t="shared" si="107"/>
        <v>0</v>
      </c>
    </row>
    <row r="100" spans="1:16" ht="33" customHeight="1" x14ac:dyDescent="0.35">
      <c r="A100" s="15" t="s">
        <v>15</v>
      </c>
      <c r="B100" s="41"/>
      <c r="C100" s="43">
        <f t="shared" ref="C100:P100" si="108">C13+C19+C25+C31+C37+C43+C49+C55+C61+C67+C73+C79+C85+C91</f>
        <v>395756800</v>
      </c>
      <c r="D100" s="42">
        <f t="shared" si="108"/>
        <v>371199828.65999997</v>
      </c>
      <c r="E100" s="73">
        <f t="shared" si="108"/>
        <v>0</v>
      </c>
      <c r="F100" s="73">
        <f t="shared" si="108"/>
        <v>9600000</v>
      </c>
      <c r="G100" s="73">
        <f t="shared" si="108"/>
        <v>9600000</v>
      </c>
      <c r="H100" s="73">
        <f t="shared" si="108"/>
        <v>9600000</v>
      </c>
      <c r="I100" s="73">
        <f t="shared" si="108"/>
        <v>9600000</v>
      </c>
      <c r="J100" s="73">
        <f t="shared" si="108"/>
        <v>26383269.600000001</v>
      </c>
      <c r="K100" s="73">
        <f t="shared" si="108"/>
        <v>0</v>
      </c>
      <c r="L100" s="73">
        <f t="shared" si="108"/>
        <v>0</v>
      </c>
      <c r="M100" s="73">
        <f t="shared" si="108"/>
        <v>0</v>
      </c>
      <c r="N100" s="73">
        <f t="shared" si="108"/>
        <v>0</v>
      </c>
      <c r="O100" s="73">
        <f t="shared" si="108"/>
        <v>0</v>
      </c>
      <c r="P100" s="73">
        <f t="shared" si="108"/>
        <v>0</v>
      </c>
    </row>
    <row r="101" spans="1:16" ht="33" customHeight="1" x14ac:dyDescent="0.35">
      <c r="A101" s="44" t="s">
        <v>16</v>
      </c>
      <c r="B101" s="13"/>
      <c r="C101" s="43">
        <f>C20+C26+C32+C38+C44+C50+C56+C62+C68+C74+C80+C86+C92</f>
        <v>355900</v>
      </c>
      <c r="D101" s="42">
        <f>D92+D86+D80+D74+D68+D62+D56+D50+D44+D38+D32+D26+D20+D14</f>
        <v>354510.91</v>
      </c>
      <c r="E101" s="73">
        <f t="shared" ref="E101:H101" si="109">E92+E86+E80+E74+E68+E62+E56+E50+E44+E38+E32+E26+E20+E14</f>
        <v>0</v>
      </c>
      <c r="F101" s="73">
        <f t="shared" si="109"/>
        <v>0</v>
      </c>
      <c r="G101" s="73">
        <f t="shared" si="109"/>
        <v>0</v>
      </c>
      <c r="H101" s="73">
        <f t="shared" si="109"/>
        <v>0</v>
      </c>
      <c r="I101" s="73">
        <f t="shared" ref="I101:J101" si="110">I92+I86+I80+I74+I68+I62+I56+I50+I44+I38+I32+I26+I20+I14</f>
        <v>0</v>
      </c>
      <c r="J101" s="73">
        <f t="shared" si="110"/>
        <v>424658.8</v>
      </c>
      <c r="K101" s="73">
        <f t="shared" ref="K101:P101" si="111">K92+K86+K80+K74+K68+K62+K56+K50+K44+K38+K32+K26+K20+K14</f>
        <v>0</v>
      </c>
      <c r="L101" s="73">
        <f t="shared" si="111"/>
        <v>0</v>
      </c>
      <c r="M101" s="73">
        <f t="shared" si="111"/>
        <v>0</v>
      </c>
      <c r="N101" s="73">
        <f t="shared" si="111"/>
        <v>0</v>
      </c>
      <c r="O101" s="73">
        <f t="shared" si="111"/>
        <v>0</v>
      </c>
      <c r="P101" s="73">
        <f t="shared" si="111"/>
        <v>0</v>
      </c>
    </row>
    <row r="102" spans="1:16" ht="33" customHeight="1" x14ac:dyDescent="0.35">
      <c r="A102" s="16" t="s">
        <v>17</v>
      </c>
      <c r="B102" s="41"/>
      <c r="C102" s="43">
        <f>C21+C27+C33+C39+C45+C51+C57+C63+C69+C81+C87+C93+C75</f>
        <v>89564700</v>
      </c>
      <c r="D102" s="42">
        <f>D93+D87+D81+D75+D69+D63+D57+D51+D45+D39+D33+D27+D21+D15</f>
        <v>89393444.170000002</v>
      </c>
      <c r="E102" s="40">
        <f t="shared" ref="E102:H102" si="112">E93+E87+E81+E75+E69+E63+E57+E51+E45+E39+E33+E27+E21+E15</f>
        <v>0</v>
      </c>
      <c r="F102" s="40">
        <f t="shared" si="112"/>
        <v>0</v>
      </c>
      <c r="G102" s="40">
        <f t="shared" si="112"/>
        <v>0</v>
      </c>
      <c r="H102" s="40">
        <f t="shared" si="112"/>
        <v>0</v>
      </c>
      <c r="I102" s="40">
        <f t="shared" ref="I102:J102" si="113">I93+I87+I81+I75+I69+I63+I57+I51+I45+I39+I33+I27+I21+I15</f>
        <v>0</v>
      </c>
      <c r="J102" s="40">
        <f t="shared" si="113"/>
        <v>0</v>
      </c>
      <c r="K102" s="40">
        <f t="shared" ref="K102:P102" si="114">K93+K87+K81+K75+K69+K63+K57+K51+K45+K39+K33+K27+K21+K15</f>
        <v>0</v>
      </c>
      <c r="L102" s="40">
        <f t="shared" si="114"/>
        <v>0</v>
      </c>
      <c r="M102" s="40">
        <f t="shared" si="114"/>
        <v>0</v>
      </c>
      <c r="N102" s="40">
        <f t="shared" si="114"/>
        <v>0</v>
      </c>
      <c r="O102" s="40">
        <f t="shared" si="114"/>
        <v>0</v>
      </c>
      <c r="P102" s="40">
        <f t="shared" si="114"/>
        <v>0</v>
      </c>
    </row>
    <row r="103" spans="1:16" s="103" customFormat="1" ht="33" customHeight="1" x14ac:dyDescent="0.55000000000000004">
      <c r="A103" s="121"/>
      <c r="B103" s="121"/>
      <c r="C103" s="121"/>
      <c r="D103" s="121"/>
      <c r="E103" s="121"/>
      <c r="F103" s="121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</row>
  </sheetData>
  <mergeCells count="7">
    <mergeCell ref="A1:P2"/>
    <mergeCell ref="F3:F5"/>
    <mergeCell ref="D3:D5"/>
    <mergeCell ref="A103:F103"/>
    <mergeCell ref="A3:A5"/>
    <mergeCell ref="B3:B5"/>
    <mergeCell ref="C3:C5"/>
  </mergeCells>
  <printOptions horizontalCentered="1"/>
  <pageMargins left="0" right="0" top="0.39370078740157483" bottom="0.39370078740157483" header="0.31496062992125984" footer="0.31496062992125984"/>
  <pageSetup paperSize="8" scale="40" fitToHeight="0" orientation="portrait" r:id="rId1"/>
  <headerFooter>
    <oddFooter>Page &amp;P</oddFooter>
  </headerFooter>
  <rowBreaks count="1" manualBreakCount="1">
    <brk id="5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รอบ 6 เดือน</vt:lpstr>
      <vt:lpstr>'รอบ 6 เดือน'!Print_Area</vt:lpstr>
      <vt:lpstr>'รอบ 6 เดือน'!Print_Titles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Jaeb</dc:creator>
  <cp:lastModifiedBy>User</cp:lastModifiedBy>
  <cp:lastPrinted>2019-08-31T07:38:28Z</cp:lastPrinted>
  <dcterms:created xsi:type="dcterms:W3CDTF">2018-11-05T03:42:43Z</dcterms:created>
  <dcterms:modified xsi:type="dcterms:W3CDTF">2024-08-22T07:34:23Z</dcterms:modified>
</cp:coreProperties>
</file>